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4000" windowHeight="9780" tabRatio="851" activeTab="1"/>
  </bookViews>
  <sheets>
    <sheet name="งบแสดงฐานะการเงิน61ใหม่" sheetId="75" r:id="rId1"/>
    <sheet name="หมายเหตุ1" sheetId="78" r:id="rId2"/>
    <sheet name="หมายเหตุ2" sheetId="47" r:id="rId3"/>
    <sheet name="หมายเหตุ3-4" sheetId="28" r:id="rId4"/>
    <sheet name="ลูกหนี้ภาษี5" sheetId="61" r:id="rId5"/>
    <sheet name="หมายเหตุ6" sheetId="69" r:id="rId6"/>
    <sheet name="หมายเหตุ7" sheetId="33" r:id="rId7"/>
    <sheet name="หมายเหตุ 8" sheetId="34" r:id="rId8"/>
    <sheet name="เงินสะสมเหตุ9" sheetId="54" r:id="rId9"/>
    <sheet name="แนบ9" sheetId="64" r:id="rId10"/>
    <sheet name="งบแสดงผลรายรับ" sheetId="58" r:id="rId11"/>
    <sheet name="งบแสดงผลรายรับและเงินสะสม" sheetId="96" r:id="rId12"/>
    <sheet name="เหตุ 1 ประกอบผลการดำเนินงาน" sheetId="53" r:id="rId13"/>
    <sheet name="เหตุ 2 ประกอบงบแสดงผล" sheetId="66" r:id="rId14"/>
  </sheets>
  <calcPr calcId="124519"/>
</workbook>
</file>

<file path=xl/calcChain.xml><?xml version="1.0" encoding="utf-8"?>
<calcChain xmlns="http://schemas.openxmlformats.org/spreadsheetml/2006/main">
  <c r="F18" i="58"/>
  <c r="E9" i="47"/>
  <c r="H37" i="66"/>
  <c r="H36"/>
  <c r="G17" i="96"/>
  <c r="R8"/>
  <c r="R12"/>
  <c r="S12"/>
  <c r="R15"/>
  <c r="R17"/>
  <c r="S17"/>
  <c r="R6"/>
  <c r="F18"/>
  <c r="O18" i="58"/>
  <c r="E17" i="34"/>
  <c r="E27"/>
  <c r="G20" i="75"/>
  <c r="H26"/>
  <c r="H10"/>
  <c r="I19" i="28"/>
  <c r="H19"/>
  <c r="G10" i="75"/>
  <c r="M14" i="96"/>
  <c r="C30"/>
  <c r="E30"/>
  <c r="B30"/>
  <c r="E27"/>
  <c r="E26"/>
  <c r="E24"/>
  <c r="E22"/>
  <c r="E21"/>
  <c r="E20"/>
  <c r="Q18"/>
  <c r="B18"/>
  <c r="O16"/>
  <c r="M16"/>
  <c r="K16"/>
  <c r="J16"/>
  <c r="R16"/>
  <c r="S16"/>
  <c r="H16"/>
  <c r="C16"/>
  <c r="E16"/>
  <c r="G16"/>
  <c r="C15"/>
  <c r="E15"/>
  <c r="G15"/>
  <c r="J14"/>
  <c r="C14"/>
  <c r="E14"/>
  <c r="G14"/>
  <c r="M13"/>
  <c r="J13"/>
  <c r="C13"/>
  <c r="E13"/>
  <c r="G13"/>
  <c r="J12"/>
  <c r="C12"/>
  <c r="E12"/>
  <c r="G12"/>
  <c r="P11"/>
  <c r="P18"/>
  <c r="O11"/>
  <c r="O18"/>
  <c r="M11"/>
  <c r="L11"/>
  <c r="K11"/>
  <c r="K18"/>
  <c r="J11"/>
  <c r="H11"/>
  <c r="R11"/>
  <c r="O10"/>
  <c r="N10"/>
  <c r="N18"/>
  <c r="M10"/>
  <c r="L10"/>
  <c r="J10"/>
  <c r="I10"/>
  <c r="I18"/>
  <c r="H10"/>
  <c r="R10"/>
  <c r="M9"/>
  <c r="L9"/>
  <c r="J9"/>
  <c r="H9"/>
  <c r="C9"/>
  <c r="E9"/>
  <c r="G9"/>
  <c r="M8"/>
  <c r="M18"/>
  <c r="L8"/>
  <c r="L18"/>
  <c r="J8"/>
  <c r="J18"/>
  <c r="H8"/>
  <c r="H7"/>
  <c r="R7"/>
  <c r="C6"/>
  <c r="E6"/>
  <c r="G6"/>
  <c r="C29" i="58"/>
  <c r="E29"/>
  <c r="C8" i="96"/>
  <c r="E8"/>
  <c r="G8"/>
  <c r="C10"/>
  <c r="E10"/>
  <c r="G10"/>
  <c r="H18"/>
  <c r="F29" i="64"/>
  <c r="E29"/>
  <c r="D29"/>
  <c r="H28"/>
  <c r="H29"/>
  <c r="G28"/>
  <c r="G29"/>
  <c r="K10" i="54"/>
  <c r="M15"/>
  <c r="M16"/>
  <c r="H23" i="66"/>
  <c r="G21" i="53"/>
  <c r="C6" i="58"/>
  <c r="E6"/>
  <c r="F7"/>
  <c r="F8"/>
  <c r="H8"/>
  <c r="J8"/>
  <c r="J18"/>
  <c r="K8"/>
  <c r="F9"/>
  <c r="C9"/>
  <c r="E9"/>
  <c r="H9"/>
  <c r="J9"/>
  <c r="K9"/>
  <c r="F10"/>
  <c r="G10"/>
  <c r="G18"/>
  <c r="H10"/>
  <c r="J10"/>
  <c r="K10"/>
  <c r="L10"/>
  <c r="L18"/>
  <c r="M10"/>
  <c r="F11"/>
  <c r="H11"/>
  <c r="C11"/>
  <c r="E11"/>
  <c r="I11"/>
  <c r="J11"/>
  <c r="K11"/>
  <c r="M11"/>
  <c r="N11"/>
  <c r="N18"/>
  <c r="H12"/>
  <c r="H13"/>
  <c r="K13"/>
  <c r="H14"/>
  <c r="K14"/>
  <c r="C14"/>
  <c r="E14"/>
  <c r="C15"/>
  <c r="E15"/>
  <c r="F16"/>
  <c r="C16"/>
  <c r="E16"/>
  <c r="H16"/>
  <c r="I16"/>
  <c r="I18"/>
  <c r="K16"/>
  <c r="K18"/>
  <c r="M16"/>
  <c r="B18"/>
  <c r="E20"/>
  <c r="E21"/>
  <c r="E22"/>
  <c r="E24"/>
  <c r="E26"/>
  <c r="E27"/>
  <c r="B29"/>
  <c r="G8" i="64"/>
  <c r="G19"/>
  <c r="H8"/>
  <c r="G9"/>
  <c r="H9"/>
  <c r="G10"/>
  <c r="H10"/>
  <c r="G11"/>
  <c r="H11"/>
  <c r="G12"/>
  <c r="H12"/>
  <c r="G13"/>
  <c r="H13"/>
  <c r="G14"/>
  <c r="H14"/>
  <c r="G15"/>
  <c r="H15"/>
  <c r="G16"/>
  <c r="H16"/>
  <c r="G17"/>
  <c r="H17"/>
  <c r="G18"/>
  <c r="H18"/>
  <c r="D19"/>
  <c r="E19"/>
  <c r="F19"/>
  <c r="H19"/>
  <c r="G10" i="54"/>
  <c r="I15"/>
  <c r="I16"/>
  <c r="G12"/>
  <c r="F27" i="34"/>
  <c r="H20" i="75"/>
  <c r="H21" s="1"/>
  <c r="H22" s="1"/>
  <c r="H27" s="1"/>
  <c r="G25" i="33"/>
  <c r="G19" i="75"/>
  <c r="G21" s="1"/>
  <c r="G61" i="33"/>
  <c r="H19" i="75"/>
  <c r="C29" i="69"/>
  <c r="G12" i="75"/>
  <c r="C63" i="69"/>
  <c r="H12" i="75"/>
  <c r="E8" i="61"/>
  <c r="E9"/>
  <c r="E10"/>
  <c r="E11"/>
  <c r="E16"/>
  <c r="G11" i="75"/>
  <c r="E12" i="61"/>
  <c r="E13"/>
  <c r="E14"/>
  <c r="E15"/>
  <c r="D16"/>
  <c r="G16"/>
  <c r="H16"/>
  <c r="H11" i="75"/>
  <c r="H6" i="28"/>
  <c r="H10"/>
  <c r="H12"/>
  <c r="G9" i="75"/>
  <c r="G13" s="1"/>
  <c r="G14" s="1"/>
  <c r="I12" i="28"/>
  <c r="H9" i="75"/>
  <c r="H13" s="1"/>
  <c r="H14" s="1"/>
  <c r="B19" i="47"/>
  <c r="B37"/>
  <c r="C19"/>
  <c r="C37"/>
  <c r="B36"/>
  <c r="C36"/>
  <c r="M18" i="58"/>
  <c r="H18"/>
  <c r="C13"/>
  <c r="E13"/>
  <c r="C10"/>
  <c r="E10"/>
  <c r="C8"/>
  <c r="E8"/>
  <c r="C12"/>
  <c r="E12"/>
  <c r="C7"/>
  <c r="E7"/>
  <c r="E37" i="47"/>
  <c r="F37"/>
  <c r="H16" i="75"/>
  <c r="H6"/>
  <c r="S6" i="96"/>
  <c r="S8"/>
  <c r="M23" i="54"/>
  <c r="M22"/>
  <c r="R18" i="96"/>
  <c r="G24" i="75"/>
  <c r="G26" s="1"/>
  <c r="I23" i="54"/>
  <c r="I22"/>
  <c r="S10" i="96"/>
  <c r="S15"/>
  <c r="C18" i="58"/>
  <c r="E18"/>
  <c r="E30"/>
  <c r="R14" i="96"/>
  <c r="S14"/>
  <c r="C11"/>
  <c r="E11"/>
  <c r="G11"/>
  <c r="S11"/>
  <c r="R13"/>
  <c r="S13"/>
  <c r="R9"/>
  <c r="S9"/>
  <c r="C7"/>
  <c r="E7"/>
  <c r="G7"/>
  <c r="S7"/>
  <c r="C18"/>
  <c r="E18"/>
  <c r="E31"/>
  <c r="G18"/>
  <c r="S18"/>
  <c r="G6" i="75"/>
  <c r="G37" i="47"/>
  <c r="G16" i="75"/>
  <c r="G27" l="1"/>
  <c r="G22"/>
</calcChain>
</file>

<file path=xl/sharedStrings.xml><?xml version="1.0" encoding="utf-8"?>
<sst xmlns="http://schemas.openxmlformats.org/spreadsheetml/2006/main" count="816" uniqueCount="428">
  <si>
    <t>เงินสด</t>
  </si>
  <si>
    <t>รายจ่ายค้างจ่าย</t>
  </si>
  <si>
    <t>เงินสะสม</t>
  </si>
  <si>
    <t>ค่าตอบแทน</t>
  </si>
  <si>
    <t>รวม</t>
  </si>
  <si>
    <t>รวมทั้งสิ้น</t>
  </si>
  <si>
    <t>หมายเหตุ</t>
  </si>
  <si>
    <t>จำนวนเงิน</t>
  </si>
  <si>
    <t>ชื่อ</t>
  </si>
  <si>
    <t>งบแสดงฐานะการเงิน</t>
  </si>
  <si>
    <t>ทรัพย์สินตามงบทรัพย์สิน</t>
  </si>
  <si>
    <t>สินทรัพย์</t>
  </si>
  <si>
    <t>สินทรัพย์หมุนเวียน</t>
  </si>
  <si>
    <t>เงินสดและเงินฝากธนาคาร</t>
  </si>
  <si>
    <t>รวมสินทรัพย์หมุนเวียน</t>
  </si>
  <si>
    <t>รวมสินทรัพย์</t>
  </si>
  <si>
    <t>ทุนทรัพย์สิน</t>
  </si>
  <si>
    <t>หนี้สิน</t>
  </si>
  <si>
    <t>หนี้สินหมุนเวียน</t>
  </si>
  <si>
    <t>เงินรับฝาก</t>
  </si>
  <si>
    <t>รวมหนี้สินหมุนเวียน</t>
  </si>
  <si>
    <t>รวมหนี้สิน</t>
  </si>
  <si>
    <t>เงินทุนสำรองเงินสะสม</t>
  </si>
  <si>
    <t>รวมเงินสะสม</t>
  </si>
  <si>
    <t>รวมหนี้สินและเงินสะสม</t>
  </si>
  <si>
    <t>ประเภททรัพย์สิน</t>
  </si>
  <si>
    <t>ราคาทรัพย์สิน</t>
  </si>
  <si>
    <t>เงินฝากธนาคาร</t>
  </si>
  <si>
    <t>แหล่งเงิน</t>
  </si>
  <si>
    <t>แผนงาน</t>
  </si>
  <si>
    <t>งาน</t>
  </si>
  <si>
    <t>หมวด</t>
  </si>
  <si>
    <t>โครงการ</t>
  </si>
  <si>
    <t>ประเภทออมทรัพย์</t>
  </si>
  <si>
    <t>เงินงบประมาณ</t>
  </si>
  <si>
    <t>หมายเหตุประกอบงบแสดงฐานะการเงิน</t>
  </si>
  <si>
    <t>ก.  อสังหาริมทรัพย์</t>
  </si>
  <si>
    <t>เงินประกันสัญญา</t>
  </si>
  <si>
    <t>รายรับจริงสูงกว่ารายจ่ายจริง</t>
  </si>
  <si>
    <t>หมายเหตุ 2 งบทรัพย์สิน</t>
  </si>
  <si>
    <t>แหล่งที่มาของทรัพย์สินทั้งหมด</t>
  </si>
  <si>
    <t>รวมอสังหาริมทรัพย์</t>
  </si>
  <si>
    <t>รวมสังหาริมทรัพย์</t>
  </si>
  <si>
    <t>คำอธิบาย</t>
  </si>
  <si>
    <t xml:space="preserve">            1. ทรัพย์สินที่ได้มาจากรายได้  เงินสะสม  เงินทุนสำรองเงินสะสม เงินที่มีผู้อุทิศให้ และเงินอื่นใดยกเว้นเงินกู้ </t>
  </si>
  <si>
    <t>รวมทั้งทรัพย์สินที่ให้ยืมหรือเช่า ยกเว้นทรัพย์สินที่จัดไว้เพื่อเป็นการให้บริการสาธารณะ เช่น ถนน สะพาน ลานกีฬา เป็นต้น</t>
  </si>
  <si>
    <t>ให้แสดงทรัพย์สินที่เป็นกรรมสิทธิ์ขององค์กรปกครองส่วนท้องถิ่นและองค์กรปกครองส่วนท้องถิ่นใช้ประโยชน์โดยตรง</t>
  </si>
  <si>
    <t>หมายเหตุ  3  เงินสดและเงินฝากธนาคาร</t>
  </si>
  <si>
    <t>ข.  สังหาริมทรัพย์</t>
  </si>
  <si>
    <t>ประมาณการ</t>
  </si>
  <si>
    <t>การศึกษา</t>
  </si>
  <si>
    <t>สาธารณสุข</t>
  </si>
  <si>
    <t>การเกษตร</t>
  </si>
  <si>
    <t>งบกลาง</t>
  </si>
  <si>
    <t>รายจ่าย</t>
  </si>
  <si>
    <t>เงินเดือน (ฝ่ายการเมือง)</t>
  </si>
  <si>
    <t>เงินเดือน (ฝ่ายประจำ)</t>
  </si>
  <si>
    <t>ค่าใช้สอย</t>
  </si>
  <si>
    <t>ค่าวัสดุ</t>
  </si>
  <si>
    <t>ค่าสาธารณูปโภค</t>
  </si>
  <si>
    <t>รายจ่ายอื่น</t>
  </si>
  <si>
    <t>เงินอุดหนุน</t>
  </si>
  <si>
    <t>รวมรายจ่าย</t>
  </si>
  <si>
    <t>รายรับ</t>
  </si>
  <si>
    <t>ภาษีอากร</t>
  </si>
  <si>
    <t>รายได้จากทรัพย์สิน</t>
  </si>
  <si>
    <t>รายได้เบ็ดเตล็ด</t>
  </si>
  <si>
    <t>ภาษีจัดสรร</t>
  </si>
  <si>
    <t>เงินอุดหนุนทั่วไป</t>
  </si>
  <si>
    <t>รวมรายรับ</t>
  </si>
  <si>
    <t>ธ.ก.ส.</t>
  </si>
  <si>
    <t>ออมสิน</t>
  </si>
  <si>
    <t>ที่ดินและสิ่งก่อสร้าง</t>
  </si>
  <si>
    <t>ประเภทลูกหนี้</t>
  </si>
  <si>
    <t>ประจำปี</t>
  </si>
  <si>
    <t>จำนวนราย</t>
  </si>
  <si>
    <t>ลูกหนี้ค่าภาษี</t>
  </si>
  <si>
    <t xml:space="preserve">            2. ทรัพย์สินที่ได้มาจากแหล่งเงินกู้ ให้แสดงทรัพย์สินทุกประเภท</t>
  </si>
  <si>
    <t xml:space="preserve">     (เงินทุนสำรองเงินสะสม)</t>
  </si>
  <si>
    <t>หมายเหตุประกอบงบแสดงฐานะทางการเงิน</t>
  </si>
  <si>
    <t>ก่อหนี้ผูกพัน</t>
  </si>
  <si>
    <t>เบิกจ่ายแล้ว</t>
  </si>
  <si>
    <t>คงเหลือ</t>
  </si>
  <si>
    <t>ยังไม่ได้ก่อหนี้</t>
  </si>
  <si>
    <t>ประเภท</t>
  </si>
  <si>
    <t>ที่ได้รับอนุมัติ</t>
  </si>
  <si>
    <t>เงินภาษีหัก ณ ที่จ่าย</t>
  </si>
  <si>
    <t>กรุงไทย</t>
  </si>
  <si>
    <t>เคหะและชุมชน</t>
  </si>
  <si>
    <t>2. อาคาร</t>
  </si>
  <si>
    <t>เงินปีเก่าส่งคืน</t>
  </si>
  <si>
    <t>รายได้จากทุน</t>
  </si>
  <si>
    <t>1. ที่ดิน</t>
  </si>
  <si>
    <t>งบแสดงผลการดำเนินงานจ่ายจากเงินรายรับ</t>
  </si>
  <si>
    <t>รวมจ่ายจากเงินงบประมาณ</t>
  </si>
  <si>
    <t>รวมจ่ายจากเงินอุดหนุนระบุวัตถุประสงค์/เฉพาะกิจ</t>
  </si>
  <si>
    <t>บริหารงานทั่วไป</t>
  </si>
  <si>
    <t>การรักษาความสงบภายใน</t>
  </si>
  <si>
    <t>สังคมสงเคราะห์</t>
  </si>
  <si>
    <t>สร้างความเข้มแข็งฯ</t>
  </si>
  <si>
    <t>การศาสนาวัฒนธรรมฯ</t>
  </si>
  <si>
    <t>รวมทุกแผนงาน</t>
  </si>
  <si>
    <t>ผลต่าง</t>
  </si>
  <si>
    <t>ค่าครุภัณฑ์(หมายเหตุ 1)</t>
  </si>
  <si>
    <t>ค่าที่ดินและสิ่งก่อสร้าง(หมายเหตุ 2)</t>
  </si>
  <si>
    <t>-</t>
  </si>
  <si>
    <t>ค่าธรรมเนียมค่าปรับและใบอนุญาต</t>
  </si>
  <si>
    <t>รายได้จากสาธารณูปโภคและการพาณิชย์</t>
  </si>
  <si>
    <t>เงินอุดหนุนระบุวัตถุประสงค์/เฉพาะกิจ</t>
  </si>
  <si>
    <t>บริหารทั่วไป</t>
  </si>
  <si>
    <t>เงินประกันสังคม</t>
  </si>
  <si>
    <t>สาธารณูปโภค</t>
  </si>
  <si>
    <t>รายรับสูงกว่ารายจ่าย</t>
  </si>
  <si>
    <t xml:space="preserve">หมายเหตุ   ประกอบงบแสดงผลการดำเนินงานจ่ายจากเงินรายรับ </t>
  </si>
  <si>
    <t>หมายเหตุ 1 ค่าครุภัณฑ์  จ่ายจากเงินรายรับ</t>
  </si>
  <si>
    <t>หมายเหตุ   ประกอบงบแสดงผลการดำเนินงานจ่ายจากเงินรายรับ</t>
  </si>
  <si>
    <t>เงินทุนโครงการเศรษฐกิจชุมชน</t>
  </si>
  <si>
    <t xml:space="preserve"> ลูกหนี้ภาษีบำรุงท้องที่</t>
  </si>
  <si>
    <t>รายการปรับปรุงบัญชี</t>
  </si>
  <si>
    <t>1. ครุภัณฑ์สำนักงาน</t>
  </si>
  <si>
    <t>2. ครุภัณฑ์ยานพาหนะและขนส่ง</t>
  </si>
  <si>
    <t>ลูกหนี้เงินทุนโครงการเศรษฐกิจชุมชน</t>
  </si>
  <si>
    <t>ชื่อ - สกุล ผู้ยืม</t>
  </si>
  <si>
    <t>โครงการที่ยืม</t>
  </si>
  <si>
    <t xml:space="preserve">     - เบี้ยยังชีพผู้สูงอายุ</t>
  </si>
  <si>
    <t>รายจ่ายค้างจ่ายเหลือจ่าย</t>
  </si>
  <si>
    <t>เงินรอคืนจังหวัด :-</t>
  </si>
  <si>
    <t>องค์การบริหารส่วนตำบลห้วยสามพาด   อำเภอประจักษ์ศิลปาคม   จังหวัดอุดรธานี</t>
  </si>
  <si>
    <t xml:space="preserve">                        องค์การบริหารส่วนตำบลห้วยสามพาด   อำเภอประจักษ์ศิลปาคม   จังหวัดอุดรธานี                        </t>
  </si>
  <si>
    <t>องค์การบริหารส่วนตำบลห้วยสามพาด  อำเภอประจักษ์ศิลปาคม  จังหวัดอุดรธานี</t>
  </si>
  <si>
    <t>องค์การบริหารส่วนตำบลห้วยสามพาด   อำเภอประจักษ์ศิลปาคม  จังหวัดอุดรธานี</t>
  </si>
  <si>
    <t>3. รั้วที่ทำการ</t>
  </si>
  <si>
    <t>4. ป้ายประชาสัมพันธ์</t>
  </si>
  <si>
    <t>5. โรงจอดรถ</t>
  </si>
  <si>
    <t>6. ระบบประปา</t>
  </si>
  <si>
    <t>7. โรงเรือนปุ๋ยอัดเม็ด</t>
  </si>
  <si>
    <t>8. หอกระจายข่าว</t>
  </si>
  <si>
    <t>9. รั้วคอนกรีตรอบหนองแก</t>
  </si>
  <si>
    <t>10. ฉางช้าว</t>
  </si>
  <si>
    <t>3. ครุภัณฑ์โฆษณาและเผยแพร่</t>
  </si>
  <si>
    <t>4. ครุภัณฑ์วิทยาศาสตร์หรือการแพทย์</t>
  </si>
  <si>
    <t>5. ครุภัณฑ์ไฟฟ้าและวิทยุ</t>
  </si>
  <si>
    <t>6. ครุภัณฑ์สำรวจ</t>
  </si>
  <si>
    <t>7. ครุภัณฑ์งานโยธา</t>
  </si>
  <si>
    <t>8. ครุภัณฑ์ก่อสร้าง</t>
  </si>
  <si>
    <t>9. ครุภัณฑ์การเกษตร</t>
  </si>
  <si>
    <t>10. ครุภัณฑ์คอมพิวเตอร์</t>
  </si>
  <si>
    <t>11. ครุภัณฑ์งานบ้านงานครัว</t>
  </si>
  <si>
    <t>12. ครุภัณฑ์ดนตรี</t>
  </si>
  <si>
    <t>13. ครุภัณฑ์โรงงาน</t>
  </si>
  <si>
    <t>14. ครุภัณฑ์การศึกษา</t>
  </si>
  <si>
    <t>15. ครุภัณฑ์อื่น</t>
  </si>
  <si>
    <t>สาขาพันดอน</t>
  </si>
  <si>
    <t>เลขที่ 01-205-237657-5</t>
  </si>
  <si>
    <t>สาขากุมภวาปี</t>
  </si>
  <si>
    <t>เลขที่ 205-2-48540-1</t>
  </si>
  <si>
    <t>เลขที่  01-466-2-47895-6</t>
  </si>
  <si>
    <t>พันดอน</t>
  </si>
  <si>
    <t>เลขที่  02-003-1-648-353</t>
  </si>
  <si>
    <t>สาขาเซ็นทรัลพลาซาอุดรธานี</t>
  </si>
  <si>
    <t>เลขที่  443-1-41135-6</t>
  </si>
  <si>
    <t>เลขที่ 020131216804</t>
  </si>
  <si>
    <t>1. นายวสันต์ นารักษ์</t>
  </si>
  <si>
    <t>กลุ่มเลี้ยงโค-กระบือบ้านโนนคำมี หมู่  2</t>
  </si>
  <si>
    <t>2. นายบุญมี เพ็ชรสาย</t>
  </si>
  <si>
    <t>กลุ่มส่งเสริมอาชีพการเลี้ยงปลา บ้านป่าก้าว หมู่ 9</t>
  </si>
  <si>
    <t>3. นายบัวเงิน คำทุย</t>
  </si>
  <si>
    <t>กลุ่มเลี้ยงสุกร หมู่ 6</t>
  </si>
  <si>
    <t>4. นายสุบิน ศรีสมดี</t>
  </si>
  <si>
    <t>กลุ่มผู้เลี้ยงเห็ด หมู่ 9</t>
  </si>
  <si>
    <t>5. นางราตรี ขวัญโพน</t>
  </si>
  <si>
    <t>กลุ่มดอกไม้ประดิษฐ์บ้านป่าก้าว หมู่ 9</t>
  </si>
  <si>
    <t>6. นายถวัลย์ ภูสีน้ำ</t>
  </si>
  <si>
    <t>กลุ่มแก้วมังกร หมู่ 8</t>
  </si>
  <si>
    <t>7. นายชาญ ดวงจันโคตร</t>
  </si>
  <si>
    <t>กลุ่มผู้เลี้ยงจิ้งหรีด หมู่ 9 บ้านป่าก้าว</t>
  </si>
  <si>
    <t>8. นางรวงรัตน์ สุวพงษ์</t>
  </si>
  <si>
    <t>9. นายประดุง ใต้ชมภู</t>
  </si>
  <si>
    <t>กลุ่มร้านค้าชุมชน บ้านโนนสมบูรณ์ หมู่ 3</t>
  </si>
  <si>
    <t>กุล่มเลี้ยงสุกรบ้านสะอาดนามูล หมู่ 10</t>
  </si>
  <si>
    <t>กลุ่มเลี้ยงสุกร บ้านห้วยสามพาด หมู่ 1</t>
  </si>
  <si>
    <t>กลุ่มเลี้ยงสุกร บ้านโนนสมบูรณ์ หมู่ 12</t>
  </si>
  <si>
    <t>กลุ่มถักเสื้อและกระเป๋า บ้านโนนสมบูรณ์ หมู่ 3</t>
  </si>
  <si>
    <t>กลุ่มเลี้ยงไก่พันธ์พื้นเมืองบ้านสะอาดนามูล หมู่ 10</t>
  </si>
  <si>
    <t>กุล่มเลี้ยงโคบ้านโนนสมบูรณ์ หมู่ 3</t>
  </si>
  <si>
    <t>กลุ่มจักสานบ้านสะอาดนามูล หมู่ 10</t>
  </si>
  <si>
    <t>กลุ่มเลี้ยงปลาดุกบ้านสะอาดนามูล หมู่ 10</t>
  </si>
  <si>
    <t>กลุ่มเลี้ยงโค-กระบือ บ้านโนนสมบูรณ์ หมู่ 12</t>
  </si>
  <si>
    <t>กลุ่มเลี้ยงโคพันธ์เนื้อบ้านหนองแก หมู่ 7</t>
  </si>
  <si>
    <t>กลุ่มเลี้ยงเป็ดพันธ์ไข่ บ้านสะอาดนามูล หมู่ 10</t>
  </si>
  <si>
    <t>บริหารงานคลัง</t>
  </si>
  <si>
    <t>รายจ่ายเพื่อให้ได้มาซึ่งบริการ</t>
  </si>
  <si>
    <t>ค่าจ้างเหมาแรงงานพนักงานจัดเก็บค่ามูลฝอย</t>
  </si>
  <si>
    <t>ค่าจ้างเหมาแรงงานแม่บ้าน</t>
  </si>
  <si>
    <t>ค่าจ้างเหมาแรงงานบุคคลปฏิบัติงานธุรการกองช่าง</t>
  </si>
  <si>
    <t>ประโยชน์ตอบแทนอื่น</t>
  </si>
  <si>
    <t>ระดับก่อนวัยเรียนและประถมศึกษา</t>
  </si>
  <si>
    <t>ค่าอาหารเสริม(นม)</t>
  </si>
  <si>
    <t>ค่าครุภัณฑ์</t>
  </si>
  <si>
    <t>บริหารทั่วไปเกี่ยวกับเคหะและชุมชน</t>
  </si>
  <si>
    <t>เงินสำรองจ่าย</t>
  </si>
  <si>
    <t xml:space="preserve">     - เงินเดือนครู ผดด. </t>
  </si>
  <si>
    <t xml:space="preserve">     - ค่าตอบแทนค่าครองชีพ ประกันสังคม ผดด.ปี2558</t>
  </si>
  <si>
    <t xml:space="preserve">     - ค่าตอบแทนค่าครองชีพ ประกันสังคม ผดด.ปี2559</t>
  </si>
  <si>
    <t xml:space="preserve">     - ค่าจัดการเรียนการสอน ศพด. ปี 2559</t>
  </si>
  <si>
    <t xml:space="preserve">     - โครงการป้องกันและแก้ไขปัญหายาเสพติด ปี 2558</t>
  </si>
  <si>
    <t xml:space="preserve">     - โครงการป้องกันและแก้ไขปัญหายาเสพติด ปี 2559</t>
  </si>
  <si>
    <t>โครงการต้านภัยแล้ง</t>
  </si>
  <si>
    <t>ค่าขายแบบแปลน</t>
  </si>
  <si>
    <t>ส่วนลดในการจัดเก็บภาษีบำรุงท้องที่ 6%</t>
  </si>
  <si>
    <t>รายได้รัฐบาลค้างรับ</t>
  </si>
  <si>
    <t>โครงการส่งเสริมสุขภาพผู้สูงอายุ</t>
  </si>
  <si>
    <t>สำหรับปี  สิ้นสุดวันที่  30  กันยายน  2561</t>
  </si>
  <si>
    <t>ค่าวัสดุสำนักงาน(หนังสือพิมพ์)</t>
  </si>
  <si>
    <t>วัสดุสำนักงาน(หนังสือพิมพ์)</t>
  </si>
  <si>
    <t>ค่าเช่าเครื่องถ่ายเอกสาร เดือน กันยายน 2561</t>
  </si>
  <si>
    <t>ค่าจ้างเหมาแรงงานบุคคลปฏิบัติงานธุรการ สำนักงานปลัด</t>
  </si>
  <si>
    <t>ค่าจ้างเหมาแรงงานบุคคลปฏิบัติงานประจำหน่วยกู้ชีพกู้ภัย</t>
  </si>
  <si>
    <t>กำจัดขยะมูลฝอยและสิ่งปฏิกูล</t>
  </si>
  <si>
    <t>ค่าจ้างเหมาแรงงานบุคคลประจำรถขยะ</t>
  </si>
  <si>
    <t>ค่าจ้างเหมาแรงงานบุคคลปฏิบัติหน้าที่ธุรการกองช่าง</t>
  </si>
  <si>
    <t>โครงการสนับสนุนค่าใช้จ่ายการบริหารสถานศึกษา</t>
  </si>
  <si>
    <t>ค่าจัดซื้อสื่อการเรียนการสอน ประจำปี 2561</t>
  </si>
  <si>
    <t>ค่าตอบแทนผู้ปฏิบัติราชการอันเป็นประโยชน์ต่อองค์กรปกครองส่วนท้องถิ่น</t>
  </si>
  <si>
    <t>ประโยชน์ตอบแทนอื่น สำนักงานปลัด</t>
  </si>
  <si>
    <t>ประโยชน์ตอบแทนอื่น กองคลัง</t>
  </si>
  <si>
    <t>ประโยชน์ตอบแทนอื่น กองช่าง</t>
  </si>
  <si>
    <t>บริหารทั่วไปเกี่ยวกับสังคมสงเคราะห์</t>
  </si>
  <si>
    <t>ประโยชน์ตอบแทนอื่น กองสวัสดิการฯ</t>
  </si>
  <si>
    <t>รายจ่ายเพื่อบำรุงรักษาและซ่อมแซมทรัพย์สิน</t>
  </si>
  <si>
    <t>ค่าจ้างเหมาลงลูกรังภายในเขตตำบลห้วยสามพาด</t>
  </si>
  <si>
    <t>ค่าจ้างเหมาซ่อมแซมถนนโดยการปูแอสฟัลติกคอนกรีตบ้านสังคม ม.11</t>
  </si>
  <si>
    <t>ค่าจ้างเหมาทาสีอาคารศูนย์พัฒนาเด็กเล็ก</t>
  </si>
  <si>
    <t>ค่าจ้างเหมาปรับปรุงรั้วศูนย์พัฒนาเด็กเล็ก</t>
  </si>
  <si>
    <t>สำหรับสิ้นปี  สิ้นสุดวันที่ 30  กันยายน  2561</t>
  </si>
  <si>
    <t>- ครุภัณฑ์คอมพิวเตอร์สำนักงาน  จำนวน 1 เครื่อง  (กองช่าง)</t>
  </si>
  <si>
    <t>- ครุภัณฑ์งานบ้านงานครัว ถังขยะพลาสติกขนาด 60 ลิตร  (กองช่าง)</t>
  </si>
  <si>
    <t>- ครุภัณฑ์สำนักงาน เครื่องปรับอากาศ  จำนวน  2  เครื่อง  (ศูนย์พัฒนาเด็กเล็ก)</t>
  </si>
  <si>
    <t>- ครุภัณฑ์สำนักงาน เต็นท์ผ้าใบ  จำนวน  4  หลัง (กองช่าง)</t>
  </si>
  <si>
    <t>- ครุภัณฑ์สำนักงาน ผ้าใบคลุมเต็นท์  จำนวน  5  หลัง (กองช่าง)</t>
  </si>
  <si>
    <t>- ครุภัณฑ์คอมพิวเตอร์ โน๊ตบุ๊ค จำนวน 1 เครื่อง (สำนักงานปลัด)</t>
  </si>
  <si>
    <t>- ครุภัณฑ์คอมพิวเตอร์ ตั้งโต๊ะ จำนวน 1 เครื่อง (สำนักงานปลัด)</t>
  </si>
  <si>
    <t>- ครุภัณฑ์คอมพิวเตอร์ เครื่องพิมพ์แบบฉีดหมึก จำนวน 1 เครื่อง (สำนักงานปลัด)</t>
  </si>
  <si>
    <t>- ครุภัณฑ์สำนักงาน พัดลมติดผนัง จำนวน  10  ตัว  (ศูนย์พัฒนาเด็กเล็ก)</t>
  </si>
  <si>
    <t>- ครุภัณฑ์โฆษณาและเผยแพร่ โทรทัศน์สมาร์ททีวี จำนวน 2 เครื่อง  (ศูนย์พัฒนาเด็กเล็ก)</t>
  </si>
  <si>
    <t>- ครุภัณฑ์สำนักงาน โต๊ะทำงานพร้อมเก้าอี้ จำนวน 1 ชุด  (สำนักงานปลัด)</t>
  </si>
  <si>
    <t>- ครุภัณฑ์สำนักงาน โต๊ะทำงานพร้อมเก้าอี้ จำนวน 3 ชุด  (ศูนย์พัฒนาเด็กเล็ก)</t>
  </si>
  <si>
    <t>- ครุภัณฑ์สำนักงาน โต๊ะพับทรงเตี้ย จำนวน 5 ตัว  (ศูนย์พัฒนาเด็กเล็ก)</t>
  </si>
  <si>
    <t>- ครุภัณฑ์สำนักงาน ชั้นวางทีวี จำนวน 2 ตัว  (ศูนย์พัฒนาเด็กเล็ก)</t>
  </si>
  <si>
    <t>- ครุภัณฑ์โฆษณาและเผยแพร่ กล้องดิจิตอล  จำนวน  1 ตัว (ศูนย์พัฒนาเด็กเล็ก)</t>
  </si>
  <si>
    <t>- ครุภัณฑ์สำนักงาน ไมโครโฟนไร้สาย  จำนวน  1 ชุด (สำนักงานปลัด)</t>
  </si>
  <si>
    <t>- ครุภัณฑ์งานบ้านงานครัว เครื่องตัดหญ้า  จำนวน  1 เครื่อง (กองช่าง)</t>
  </si>
  <si>
    <t>รายจ่ายตามข้อผูกพัน</t>
  </si>
  <si>
    <t>ณ  วันที่  30  กันยายน  2561</t>
  </si>
  <si>
    <t>- โครงการปรับปรุงถนน คสล.โดยการปูแอสฟัลติคคอนกรีต บ้านโคกสง่า ม.5</t>
  </si>
  <si>
    <t>- โครงการปรับปรุงถนน คสล.โดยการปูแอสฟัลติคคอนกรีต บ้านอนามัยไทยเจริญ ม.13</t>
  </si>
  <si>
    <t>- โครงการปรับปรุงภูมิทัศน์รอบหนองแวงเหนือ หมู่ที่ 8</t>
  </si>
  <si>
    <t>- โครงการจ้างเหมาก่อสร้างรางระบายน้ำสำเร็จรูป บ้านสะอาดนามูล หมู่ที่ 10</t>
  </si>
  <si>
    <t>- โครงการจ้างเหมาปรับปรุงศาลาประชาคม หมู่ที่ 2</t>
  </si>
  <si>
    <t>- โครงการปรับปรุงถนน คสล.โดยการปูแอสฟัลติคคอนกรีต บ้านโนนสมบูรณ์ หมู่ที 3</t>
  </si>
  <si>
    <t>- โครงการต่อเติมศาลาประชาคม บ้านหนองแก หมู่ที่ 7</t>
  </si>
  <si>
    <t>- โครงการจ้างเหมาก่อสร้างถนน คสล.ซอยบ้านนางปรินดา หมู่ที่ 6</t>
  </si>
  <si>
    <t>- โครงการจ้างเหมาก่อสร้างถนน คสล.ภายในหมู่บ้าน บ้านอีทุย หมู่ที่ 4</t>
  </si>
  <si>
    <t>- โครงการปรับปรุงถนนลูกรัง หมู่ 5 หมู่ 12</t>
  </si>
  <si>
    <t>- โครงการก่อสร้างถนน คสล. บ้านหนองแวงเหนือ หมู่ที่ 8</t>
  </si>
  <si>
    <t>- โครงการก่อสร้างถนน คสล. บ้านโนนคำมี หมู่ที่ 2</t>
  </si>
  <si>
    <t>- โครงการก่อสร้างถนน คสล. บ้านโนนสมบูรณ์ หมู่ที่ 12</t>
  </si>
  <si>
    <t>- โครงการปรับปรุงถนน คสล.โดยการปูแอสฟัลติคคอนกรีต บ้านสังคม หมู่ที่ 11</t>
  </si>
  <si>
    <t>- โครงการก่อสร้างรั้วศูนย์พัฒนาเด็กเล็ก</t>
  </si>
  <si>
    <t xml:space="preserve">- โครงการจ้างเหมาก่อสร้างรางระบายน้าสำเร็จรูปภายในหมู่บ้าน หมู่ที่ 7 </t>
  </si>
  <si>
    <t xml:space="preserve">- โครงการจ้างเหมาก่อสร้างรางระบายน้าสำเร็จรูปภายในหมู่บ้าน หมู่ที่ 9 </t>
  </si>
  <si>
    <t>- โครงการจ้างเหมาก่อสร้างรางระบายน้ำสำเร็จรูป บ้านห้วยสามพาด หมู่ที่ 1และ อบต.</t>
  </si>
  <si>
    <t>เงินสะสม 1  ตุลาคม  2560</t>
  </si>
  <si>
    <t>สาธารณูปการ</t>
  </si>
  <si>
    <t>โครงการก่อสร้างรางระบายน้ำ บ้านหนองแก หมู่ที่ 7</t>
  </si>
  <si>
    <t>โครงการวางท่อระบายน้ำ ม.1 ม.3 ม.9</t>
  </si>
  <si>
    <t>โครงการปรับปรุงถนน คสล.โดยการปูแอสฟัลติคคอนกรีต ม.12</t>
  </si>
  <si>
    <t>โครงการปรับปรุงถนนลูกรังบ้านหนองแวงเหนือ หมู่ที่ 8</t>
  </si>
  <si>
    <t>โครงการปรับปรุงถนน คสล. บ้านห้วยสามพาด หมู่ที่ 1</t>
  </si>
  <si>
    <t>โครงการปรับปรุงถนน คสล. บ้านโนนสมบูรณ์ หมู่ที่ 3</t>
  </si>
  <si>
    <t>โครงการปรับปรุงถนน คสล.โดยการปูแอสฟัลติคคอนกรีต ม.11</t>
  </si>
  <si>
    <t>โครงการก่อสร้างถนน คสล.บ้านอีทุย ม.4</t>
  </si>
  <si>
    <t>โครงการก่อสร้างถนน คสล.บ้านวังขอนกว้าง ม.6</t>
  </si>
  <si>
    <t>โครงการก่อสร้างถนน คสล.บ้านโนนคำมี ม.2</t>
  </si>
  <si>
    <t>โครงการก่อสร้างถนน คสล.เชื่อมระหว่าง ม.13 ม.10 ม.5</t>
  </si>
  <si>
    <t xml:space="preserve">     - การดำเนินงานตามแนวทางโครงการพระราชดำริด้านสาธารณสุข</t>
  </si>
  <si>
    <t>10. นางนิศา ศรีบุรินทร์</t>
  </si>
  <si>
    <t>11. นางพันธ์ทิพย์ สุขเกษม</t>
  </si>
  <si>
    <t>12. นายอนุชิต ชื่นใจ</t>
  </si>
  <si>
    <t>13. นางทองพูล ใต้ชมภู</t>
  </si>
  <si>
    <t>14. นางบุญพร ยงปัดชา</t>
  </si>
  <si>
    <t>15. นายถาวร ศรีจันทร์ฮด</t>
  </si>
  <si>
    <t>16. นางศิริพร  ภูษา</t>
  </si>
  <si>
    <t>17. นางหนูพิน มะเสนา</t>
  </si>
  <si>
    <t>18. นายจันดี นามวงษ์</t>
  </si>
  <si>
    <t>19. นายรักชาติ โคตรแสนลี</t>
  </si>
  <si>
    <t>20. นายอำนาจ แสงกล้า</t>
  </si>
  <si>
    <t>ปี 56</t>
  </si>
  <si>
    <t>ปี 57</t>
  </si>
  <si>
    <t>ปี 54</t>
  </si>
  <si>
    <t>ปี 55</t>
  </si>
  <si>
    <t>ปี 58</t>
  </si>
  <si>
    <t>ปี 59</t>
  </si>
  <si>
    <t>ปี 60</t>
  </si>
  <si>
    <t>ปี 61</t>
  </si>
  <si>
    <t>เงินสะสม ณ 30  กันยายน  2561 ประกอบด้วย</t>
  </si>
  <si>
    <t>เงินสะสม 30  กันยายน  2561</t>
  </si>
  <si>
    <t>ปี 2561</t>
  </si>
  <si>
    <t>องค์การบริหารส่วนตำบลห้วยสามพาด</t>
  </si>
  <si>
    <t>สำหรับปี สิ้นสุดวันที่ 30 กันยายน 2561</t>
  </si>
  <si>
    <t>ข้อมูลทั่วไป</t>
  </si>
  <si>
    <t>หมายเหตุ 1  สรุปนโยบายการบัญชีที่สำคัญ</t>
  </si>
  <si>
    <t>1.1  หลักเกณฑ์ในการจัดทำงบแสดงฐานะการเงิน</t>
  </si>
  <si>
    <t>การบันทึกบัญชีเพื่อจัดทำงบแสดงฐานะการเงินเป็นไปตามเกณฑ์เงินสดและเกณฑ์คงค้าง</t>
  </si>
  <si>
    <t>ตามประกาศกระทรวงมหาดไทย  เรื่อง  หลักเกณฑ์และวิธีปฏิบัติการบันทึกบัญชี การจัดทำทะเบียน และรายงาน</t>
  </si>
  <si>
    <t>การเงินขององค์กรปกครองส่วนท้องถิ่น  ลงวันที่  20  มีนาคม  พ.ศ. 2558  และที่แก้ไขเพิ่มเติม (ฉบับที่ 2)</t>
  </si>
  <si>
    <t>ลงวันที่ 21 มีนาคม 2561  และหนังสือสั่งการที่เกี่ยวข้อง</t>
  </si>
  <si>
    <t>1.2  รายการเปิดเผยอื่นใด (ถ้ามี)</t>
  </si>
  <si>
    <t>รายได้</t>
  </si>
  <si>
    <t>ปี 2560</t>
  </si>
  <si>
    <t>เบี้ยยังชีพผู้พิการ ปีงบประมาณ 2559</t>
  </si>
  <si>
    <t>2561</t>
  </si>
  <si>
    <t>2560</t>
  </si>
  <si>
    <t>10. นายอุบล เจียรวาปี</t>
  </si>
  <si>
    <t>กลุ่มเลี้ยงสุกรบ้านโนนสมบูรณ์ หมู่ 12</t>
  </si>
  <si>
    <t>11. นางทองเชื่อม นิลศิริ</t>
  </si>
  <si>
    <t>กุล่มเย็บผ้าอุตสาหกรรม หมู่ 4</t>
  </si>
  <si>
    <t>12. นางนิศา ศรีบุรินทร์</t>
  </si>
  <si>
    <t>13 นางพันธ์ทิพย์ สุขเกษม</t>
  </si>
  <si>
    <t>14. นายอนุชิต ชื่นใจ</t>
  </si>
  <si>
    <t>15. นางทองพูล ใต้ชมภู</t>
  </si>
  <si>
    <t>16. นางบุญพร ยงปัดชา</t>
  </si>
  <si>
    <t>17. นายถาวร ศรีจันทร์ฮด</t>
  </si>
  <si>
    <t>18. นางศิริพร  ภูษา</t>
  </si>
  <si>
    <t>19. นางหนูพิน มะเสนา</t>
  </si>
  <si>
    <t>20. นายจันดี นามวงษ์</t>
  </si>
  <si>
    <t>21. นายรักชาติ โคตรแสนลี</t>
  </si>
  <si>
    <t>22. นายอำนาจ แสงกล้า</t>
  </si>
  <si>
    <t>บริหารงานทั่วไป
เกี่ยวกับเคหะและชุมชน</t>
  </si>
  <si>
    <t>ค่าตอบแทนการปฏิงานนอกเวลาราชการ</t>
  </si>
  <si>
    <t>ค่าตอบแทนผู้ปฏิบัติราชการอันเป็นประโยชน์แก่ อปท.</t>
  </si>
  <si>
    <t>กำจัดขยะมูลฝอยและสิงปฏิกูล</t>
  </si>
  <si>
    <t>ค่าจ้างเหมาแรงงานคนงานประจำรถขยะ</t>
  </si>
  <si>
    <t>ค่าจ้างเหมาแรงงานบุคคปฏิบัติงานผู้ช่วยนายช่างโยธา</t>
  </si>
  <si>
    <t>บริหารทั่วไปเกี่ยวกับสาธารณสุข</t>
  </si>
  <si>
    <t>ค่าจ้างเหมาแรงงานบุคคลปฏิบัติงานประจำหน่วยกู้ชีพ</t>
  </si>
  <si>
    <t>ค่าวัสดุสำนักงาน</t>
  </si>
  <si>
    <t>ค่าหนังสือพิมพ์</t>
  </si>
  <si>
    <t>บริหารทั่วไปเกี่ยวกับการศึกษา</t>
  </si>
  <si>
    <t>ครุภัณฑ์สำนักงาน</t>
  </si>
  <si>
    <t>ค่าจัดซื้อตู้บานทึบ จำนวน 2 หลัง</t>
  </si>
  <si>
    <t>ค่าจัดซื้อตู้บานเลื่อนกระจก จำนวน 2 หลัง</t>
  </si>
  <si>
    <t>ครุภัณฑ์งานบ้านงานครัว</t>
  </si>
  <si>
    <t>ค่าจัดซื้อตู้เย็น 2 ประตู จำนวน 1 หลัง</t>
  </si>
  <si>
    <t>ครุภัณฑ์คอมพิวเตอร์</t>
  </si>
  <si>
    <t>ค่าจัดซื้อเครื่องคอมพิวเตอร์สำนักงาน จำนวน 1 ชุด</t>
  </si>
  <si>
    <t>ไฟฟ้าและถนน</t>
  </si>
  <si>
    <t>ค่าบำรุงรักษาและปรับปรุงที่ดินและสิ่งก่อสร้าง</t>
  </si>
  <si>
    <t>ค่าใช้จ่ายในการปรับปรุงซ่อมแซมถนนลูกรังภายในหมู่บ้านหนองแก ม.7</t>
  </si>
  <si>
    <t>ค่าก่อสร้างสิ่งสาธารณูปการ</t>
  </si>
  <si>
    <t>โครงการก่อสร้างกำแพงศาลาประชาคม บ้านหนองแก หมู่ 7</t>
  </si>
  <si>
    <t>โครงการก่อสร้างรางระบายน้ำภายในหมู่บ้าน บ้านสะอาดนามูล หมู่ 10</t>
  </si>
  <si>
    <t>ค่าก่อสร้างสิ่งสาธารณูปโภค</t>
  </si>
  <si>
    <t>โครงการจ้างเหมาก่อสร้างถนนคอนกรีตเสริมเหล็กภายในหมู่บ้าน
ซอยบ้านนางพรรพิไร บ้านหนองแก หมู่ 7</t>
  </si>
  <si>
    <t>โครงการก่อสร้างถนนคอนกรีตเสริมเหล็กภายในหมู่บ้านวังขอนกว้าง ม.6</t>
  </si>
  <si>
    <t>ค่าจ้างเหมาปรับปรุงซ่อมแซมถนนลูกรัง ม.5, ม.6, ม.8, ม.10,ม.11, ม.12</t>
  </si>
  <si>
    <t>ค่าจ้างเหมาก่อสร้างถนนคอนกรีตเสริมเหล็กภายในหมู่บ้านอนามัย-
ไทยเจริญ ม.13</t>
  </si>
  <si>
    <t>ค่าจ้างเหมาปรับปรุงซ่อมแซมถนนลูกรัง ม. 1, ม.2, ม.13</t>
  </si>
  <si>
    <t>โครงการก่อสร้างห้องน้ำผู้พิการ</t>
  </si>
  <si>
    <t>โครงการปรับปรุงห้องน้ำผู้พิการ</t>
  </si>
  <si>
    <t>โครงการประชุมคณะกรรมการบริหารศูนย์ผู้พิการ</t>
  </si>
  <si>
    <t>โครงการจัดหารถโยกผู้พิการ</t>
  </si>
  <si>
    <t>หมายเหตุ 4  รายได้รัฐบาลค้างรับ</t>
  </si>
  <si>
    <t>หมายเหตุ  5   ลูกหนี้ค่าภาษี</t>
  </si>
  <si>
    <t xml:space="preserve">หมายเหตุ  6   ลูกหนี้เงินทุนโครงการเศรษฐกิจชุมชน </t>
  </si>
  <si>
    <t>หมายเหตุ  6   ลูกหนี้เงินทุนโครงการเศรษฐกิจชุมชน (ต่อ)</t>
  </si>
  <si>
    <t>หมายเหตุ 7   รายจ่ายค้างจ่าย</t>
  </si>
  <si>
    <t>หมายเหตุ 7   รายจ่ายค้างจ่าย  (ต่อ)</t>
  </si>
  <si>
    <t>หมายเหตุ 8   เงินรับฝาก</t>
  </si>
  <si>
    <t>หมายเหตุ 9   เงินสะสม</t>
  </si>
  <si>
    <t>1.  ลูกหนี้ค่าภาษี</t>
  </si>
  <si>
    <t>2.  รายได้รัฐบาลค้างรับ</t>
  </si>
  <si>
    <t>รายละเอียดแนบท้ายหมายเหตุ  9  เงินสะสม</t>
  </si>
  <si>
    <t>โครงการก่อสร้างถนนคอนกรีตเสริมเหล็กสายคุ้มสวนพลู
บ้านหนองแวงเหนือ หมู่ที่ 8</t>
  </si>
  <si>
    <t>รายละเอียดแนบท้ายหมายเหตุ  9  เงินสะสม (ต่อ)</t>
  </si>
  <si>
    <t>ลงชื่อ</t>
  </si>
  <si>
    <t xml:space="preserve">      (นางธนิดา  สิงหกุลศิริ)
       ผู้อำนวยการกองคลัง</t>
  </si>
  <si>
    <t xml:space="preserve">      (นางมนัณญา  เยาว์ธานี)
      ปลัดองค์การบริหารส่วนตำบลห้วยสามพาด</t>
  </si>
  <si>
    <t xml:space="preserve">    (นายประจักษ์  อุดชาชน)
       นายกองค์การบริหารส่วนตำบลห้วยสามพาด</t>
  </si>
  <si>
    <t>ตั้งแต่วันที่  1  ตุลาคม  2560  ถึง  30  กันยายน  2561</t>
  </si>
  <si>
    <t>งบแสดงผลการดำเนินงานจ่ายจากเงินรายรับและเงินสะสม</t>
  </si>
  <si>
    <t>รวมจ่ายจากเงินสะสม</t>
  </si>
  <si>
    <t>ค่าที่ดินและสิ่งก่อสร้าง  จ่ายจากเงินสะสม</t>
  </si>
  <si>
    <t>- โครงการก่อสร้างถนน คสล.เชื่อมระหว่างม.13 ม.10 ม.5</t>
  </si>
  <si>
    <t>- โครงการก่อสร้างรางระบายน้ำ บ้านหนองแก หมู่ที่ 7</t>
  </si>
  <si>
    <t>- โครงการวางท่อระบายน้ำ ม.1 ม.3 ม.9</t>
  </si>
  <si>
    <t>- โครงการปรับปรุงถนน คสล.โดยการปูแอสฟัลติกคอนกรีต ม.12</t>
  </si>
  <si>
    <t>- โครงการปรับปรุงถนนลูกรังบ้านหนองแวงเหนือ หมู่ที่ 8</t>
  </si>
  <si>
    <t>- โครงการปรับปรุงถนน คสล. บ้านห้วยสามพาด หมู่ที่ 1</t>
  </si>
  <si>
    <t>- โครงการปรับปรุงถนน คสล. บ้านโนนสมบูรณ์ หมู่ที่ 3</t>
  </si>
  <si>
    <t>- โครงการปรับปรุงถนน คสล. โดยการปูแอสฟัลติกคอนกรีต ม.11</t>
  </si>
  <si>
    <t>- โครงการก่อสร้างถนน คสล. บ้านอีทุย ม.4</t>
  </si>
  <si>
    <t>- โครงการก่อสร้างถนน คสล. บ้านวังขอนกว้าง ม.6</t>
  </si>
  <si>
    <t>- โครงการก่อสร้างถนน คสล. บ้านโนนคำมี ม.2</t>
  </si>
  <si>
    <t>จำนวน  16  คน</t>
  </si>
  <si>
    <t>กลุ่มเลี้ยงไก่พันธ์พื้นเมือง หมู่ 2</t>
  </si>
  <si>
    <t>เงินอุดหนุนเฉพาะกิจ</t>
  </si>
  <si>
    <t xml:space="preserve">จังหวัดอุดรธานี ได้รับการยกฐานะจากสภาตำบลห้วยสามพาด  เป็นองค์การบริหารส่วนตำบลห้วยสามพาด </t>
  </si>
  <si>
    <t>ตามประกาศจัดตั้ง ให้เป็นองค์การบริหารส่วนตำบลห้วยสามพาด  เมื่อวันที่ 30 มีนาคม พ.ศ. 2539 มีพื้นที่ทั้งหมด</t>
  </si>
  <si>
    <t xml:space="preserve">3.  เงินสะสมที่สามารถนำไปใช้ได้ </t>
  </si>
  <si>
    <t>องค์การบริหารส่วนตำบลห้วยสามพาด อำเภอประจักษ์ศิลปาคม จังหวัดอุดรธานี</t>
  </si>
  <si>
    <t xml:space="preserve"> - </t>
  </si>
  <si>
    <t>ค่าที่ดินและสิ่งก่อสร้าง (หมายเหตุ 2)</t>
  </si>
  <si>
    <t>หมายเหตุ 2    ค่าที่ดินและสิ่งก่อสร้างจ่ายจากเงินรายรับ</t>
  </si>
  <si>
    <t xml:space="preserve">               ผู้อำนวยการกองคลัง             ปลัดองค์การบริหารส่วนตำบลห้วยสามพาด    นายกองค์การบริหารส่วนตำบลห้วยสามพาด</t>
  </si>
  <si>
    <t xml:space="preserve">        ลงชื่อ                                              ลงชื่อ                                            ลงชื่อ</t>
  </si>
  <si>
    <t>องค์การบริหารส่วนตำบลห้วยสามพาด  อำเภอประจักษ์ศิลปาคม   จังหวัดอุดรธานี</t>
  </si>
  <si>
    <t xml:space="preserve">                (นางธนิดา  สิงหกุลศิริ)                     (นางมนัณญา  เยาว์ธานี)                              (นายประจักษ์ อุดชาชน)</t>
  </si>
  <si>
    <t xml:space="preserve">  (นางมนัณญา  เยาว์ธานี)
    ปลัดองค์การบริหารส่วนตำบลห้วยสามพาด</t>
  </si>
  <si>
    <t xml:space="preserve"> (นายประจักษ์  อุดชาชน)
นายกองค์การบริหารส่วนตำบลห้วยสามพาด</t>
  </si>
  <si>
    <r>
      <t>หัก</t>
    </r>
    <r>
      <rPr>
        <sz val="15"/>
        <rFont val="TH SarabunPSK"/>
        <family val="2"/>
      </rPr>
      <t xml:space="preserve">  25% ของรายรับจริงสูงกว่ารายจ่ายจริง</t>
    </r>
  </si>
  <si>
    <r>
      <t xml:space="preserve">  </t>
    </r>
    <r>
      <rPr>
        <u/>
        <sz val="15"/>
        <rFont val="TH SarabunPSK"/>
        <family val="2"/>
      </rPr>
      <t>หัก</t>
    </r>
    <r>
      <rPr>
        <sz val="15"/>
        <rFont val="TH SarabunPSK"/>
        <family val="2"/>
      </rPr>
      <t xml:space="preserve">  จ่ายขาดเงินสะสม   </t>
    </r>
  </si>
  <si>
    <r>
      <rPr>
        <sz val="15"/>
        <rFont val="TH SarabunPSK"/>
        <family val="2"/>
      </rPr>
      <t xml:space="preserve">  </t>
    </r>
    <r>
      <rPr>
        <u/>
        <sz val="15"/>
        <rFont val="TH SarabunPSK"/>
        <family val="2"/>
      </rPr>
      <t>บวก</t>
    </r>
    <r>
      <rPr>
        <sz val="15"/>
        <rFont val="TH SarabunPSK"/>
        <family val="2"/>
      </rPr>
      <t xml:space="preserve"> รายรับจริงสูงกว่ารายจ่ายจริงหลังหักเงินทุน</t>
    </r>
  </si>
  <si>
    <t>สำรองเงินสะสม</t>
  </si>
  <si>
    <t xml:space="preserve">           องค์การบริหารส่วนตำบลห้วยสามพาด ตั้งอยู่เลขที่ 231 หมู่ที่ 10 ตำบลห้วยสามพาด อำเภอประจักศิลปาคม</t>
  </si>
  <si>
    <t xml:space="preserve">39.29 ตารางกิโลเมตร  ประกอบด้วย13 หมู่บ้าน มีประชากรทั้งสิ้น 7,050 คน แยกเป็นชาย จำนวน 3,505 คน </t>
  </si>
  <si>
    <t>หญิง จำนวน 3,545 คน จำนวนครัวเรือน 2,032 ครัวเรือน มีผู้บริหาร 4 คน สมาชิกสภาองค์การบริหารส่วนตำบล</t>
  </si>
  <si>
    <t xml:space="preserve">ห้วยสามพาด จำนวน 22 คน มีพนักงานส่วนตำบล จำนวน 17 คน มีลูกจ้างประจำ จำนวน 2 คน พนักงานจ้าง 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</si>
</sst>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_(* #,##0.00_);_(* \(#,##0.00\);_(* &quot;-&quot;??_);_(@_)"/>
    <numFmt numFmtId="190" formatCode="[$-101041E]d\ mmm\ yy;@"/>
  </numFmts>
  <fonts count="59">
    <font>
      <sz val="11"/>
      <color theme="1"/>
      <name val="Tahoma"/>
      <family val="2"/>
      <charset val="222"/>
      <scheme val="minor"/>
    </font>
    <font>
      <sz val="10"/>
      <name val="Arial"/>
      <family val="2"/>
    </font>
    <font>
      <sz val="14"/>
      <name val="Cordia New"/>
      <family val="2"/>
    </font>
    <font>
      <sz val="14"/>
      <name val="CordiaUPC"/>
      <family val="2"/>
      <charset val="222"/>
    </font>
    <font>
      <sz val="14"/>
      <name val="CordiaUPC"/>
      <family val="2"/>
    </font>
    <font>
      <sz val="14"/>
      <name val="CordiaUPC"/>
      <family val="2"/>
    </font>
    <font>
      <sz val="11"/>
      <color indexed="8"/>
      <name val="Calibri"/>
      <family val="2"/>
      <charset val="222"/>
    </font>
    <font>
      <sz val="11"/>
      <color indexed="9"/>
      <name val="Calibri"/>
      <family val="2"/>
      <charset val="222"/>
    </font>
    <font>
      <sz val="11"/>
      <color indexed="20"/>
      <name val="Calibri"/>
      <family val="2"/>
      <charset val="222"/>
    </font>
    <font>
      <b/>
      <sz val="11"/>
      <color indexed="52"/>
      <name val="Calibri"/>
      <family val="2"/>
      <charset val="222"/>
    </font>
    <font>
      <b/>
      <sz val="11"/>
      <color indexed="9"/>
      <name val="Calibri"/>
      <family val="2"/>
      <charset val="222"/>
    </font>
    <font>
      <i/>
      <sz val="11"/>
      <color indexed="23"/>
      <name val="Calibri"/>
      <family val="2"/>
      <charset val="222"/>
    </font>
    <font>
      <sz val="11"/>
      <color indexed="17"/>
      <name val="Calibri"/>
      <family val="2"/>
      <charset val="222"/>
    </font>
    <font>
      <b/>
      <sz val="15"/>
      <color indexed="56"/>
      <name val="Calibri"/>
      <family val="2"/>
      <charset val="222"/>
    </font>
    <font>
      <b/>
      <sz val="13"/>
      <color indexed="56"/>
      <name val="Calibri"/>
      <family val="2"/>
      <charset val="222"/>
    </font>
    <font>
      <b/>
      <sz val="11"/>
      <color indexed="56"/>
      <name val="Calibri"/>
      <family val="2"/>
      <charset val="222"/>
    </font>
    <font>
      <sz val="11"/>
      <color indexed="62"/>
      <name val="Calibri"/>
      <family val="2"/>
      <charset val="222"/>
    </font>
    <font>
      <sz val="11"/>
      <color indexed="52"/>
      <name val="Calibri"/>
      <family val="2"/>
      <charset val="222"/>
    </font>
    <font>
      <sz val="11"/>
      <color indexed="60"/>
      <name val="Calibri"/>
      <family val="2"/>
      <charset val="222"/>
    </font>
    <font>
      <b/>
      <sz val="11"/>
      <color indexed="63"/>
      <name val="Calibri"/>
      <family val="2"/>
      <charset val="222"/>
    </font>
    <font>
      <b/>
      <sz val="18"/>
      <color indexed="56"/>
      <name val="Cambria"/>
      <family val="2"/>
      <charset val="222"/>
    </font>
    <font>
      <b/>
      <sz val="11"/>
      <color indexed="8"/>
      <name val="Calibri"/>
      <family val="2"/>
      <charset val="222"/>
    </font>
    <font>
      <sz val="11"/>
      <color indexed="10"/>
      <name val="Calibri"/>
      <family val="2"/>
      <charset val="222"/>
    </font>
    <font>
      <sz val="16"/>
      <name val="TH SarabunPSK"/>
      <family val="2"/>
    </font>
    <font>
      <sz val="14"/>
      <name val="TH SarabunPSK"/>
      <family val="2"/>
    </font>
    <font>
      <sz val="10"/>
      <name val="Arial"/>
      <family val="2"/>
    </font>
    <font>
      <sz val="10"/>
      <name val="Arial"/>
      <family val="2"/>
    </font>
    <font>
      <sz val="16"/>
      <color indexed="8"/>
      <name val="TH SarabunPSK"/>
      <family val="2"/>
    </font>
    <font>
      <b/>
      <sz val="16"/>
      <name val="TH SarabunPSK"/>
      <family val="2"/>
    </font>
    <font>
      <sz val="15"/>
      <name val="TH SarabunPSK"/>
      <family val="2"/>
    </font>
    <font>
      <sz val="14"/>
      <color indexed="8"/>
      <name val="TH SarabunPSK"/>
      <family val="2"/>
    </font>
    <font>
      <b/>
      <sz val="14"/>
      <name val="TH SarabunPSK"/>
      <family val="2"/>
    </font>
    <font>
      <b/>
      <u/>
      <sz val="14"/>
      <name val="TH SarabunPSK"/>
      <family val="2"/>
    </font>
    <font>
      <b/>
      <u val="doubleAccounting"/>
      <sz val="16"/>
      <name val="TH SarabunPSK"/>
      <family val="2"/>
    </font>
    <font>
      <u val="singleAccounting"/>
      <sz val="16"/>
      <color indexed="8"/>
      <name val="TH SarabunPSK"/>
      <family val="2"/>
    </font>
    <font>
      <sz val="15"/>
      <color indexed="8"/>
      <name val="TH SarabunPSK"/>
      <family val="2"/>
    </font>
    <font>
      <b/>
      <sz val="15"/>
      <name val="TH SarabunPSK"/>
      <family val="2"/>
    </font>
    <font>
      <u/>
      <sz val="15"/>
      <name val="TH SarabunPSK"/>
      <family val="2"/>
    </font>
    <font>
      <b/>
      <u/>
      <sz val="15"/>
      <name val="TH SarabunPSK"/>
      <family val="2"/>
    </font>
    <font>
      <b/>
      <u val="singleAccounting"/>
      <sz val="15"/>
      <name val="TH SarabunPSK"/>
      <family val="2"/>
    </font>
    <font>
      <sz val="11"/>
      <color theme="1"/>
      <name val="Tahoma"/>
      <family val="2"/>
      <charset val="222"/>
      <scheme val="minor"/>
    </font>
    <font>
      <sz val="11"/>
      <color theme="1"/>
      <name val="TH SarabunPSK"/>
      <family val="2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5"/>
      <color theme="1"/>
      <name val="TH SarabunPSK"/>
      <family val="2"/>
    </font>
    <font>
      <sz val="14"/>
      <color theme="1"/>
      <name val="TH SarabunPSK"/>
      <family val="2"/>
    </font>
    <font>
      <b/>
      <sz val="15"/>
      <color theme="1"/>
      <name val="TH SarabunPSK"/>
      <family val="2"/>
    </font>
    <font>
      <sz val="17"/>
      <color theme="1"/>
      <name val="TH SarabunPSK"/>
      <family val="2"/>
    </font>
    <font>
      <b/>
      <sz val="17"/>
      <color theme="1"/>
      <name val="TH SarabunPSK"/>
      <family val="2"/>
    </font>
    <font>
      <b/>
      <sz val="14"/>
      <color theme="1"/>
      <name val="TH SarabunPSK"/>
      <family val="2"/>
    </font>
    <font>
      <b/>
      <sz val="11"/>
      <color theme="1"/>
      <name val="TH SarabunPSK"/>
      <family val="2"/>
    </font>
    <font>
      <b/>
      <u/>
      <sz val="17"/>
      <color theme="1"/>
      <name val="TH SarabunPSK"/>
      <family val="2"/>
    </font>
    <font>
      <sz val="11"/>
      <color rgb="FFFF0000"/>
      <name val="TH SarabunPSK"/>
      <family val="2"/>
    </font>
    <font>
      <b/>
      <u/>
      <sz val="14"/>
      <color theme="1"/>
      <name val="TH SarabunPSK"/>
      <family val="2"/>
    </font>
    <font>
      <sz val="20"/>
      <color theme="1"/>
      <name val="TH SarabunPSK"/>
      <family val="2"/>
    </font>
    <font>
      <u val="singleAccounting"/>
      <sz val="16"/>
      <color theme="1"/>
      <name val="TH SarabunPSK"/>
      <family val="2"/>
    </font>
    <font>
      <u val="doubleAccounting"/>
      <sz val="16"/>
      <color theme="1"/>
      <name val="TH SarabunPSK"/>
      <family val="2"/>
    </font>
    <font>
      <b/>
      <u val="doubleAccounting"/>
      <sz val="16"/>
      <color theme="1"/>
      <name val="TH SarabunPSK"/>
      <family val="2"/>
    </font>
    <font>
      <sz val="15"/>
      <color rgb="FFFF0000"/>
      <name val="TH SarabunPSK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8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9" borderId="0" applyNumberFormat="0" applyBorder="0" applyAlignment="0" applyProtection="0"/>
    <xf numFmtId="0" fontId="8" fillId="3" borderId="0" applyNumberFormat="0" applyBorder="0" applyAlignment="0" applyProtection="0"/>
    <xf numFmtId="0" fontId="9" fillId="20" borderId="1" applyNumberFormat="0" applyAlignment="0" applyProtection="0"/>
    <xf numFmtId="0" fontId="10" fillId="21" borderId="2" applyNumberFormat="0" applyAlignment="0" applyProtection="0"/>
    <xf numFmtId="0" fontId="11" fillId="0" borderId="0" applyNumberFormat="0" applyFill="0" applyBorder="0" applyAlignment="0" applyProtection="0"/>
    <xf numFmtId="0" fontId="12" fillId="4" borderId="0" applyNumberFormat="0" applyBorder="0" applyAlignment="0" applyProtection="0"/>
    <xf numFmtId="0" fontId="13" fillId="0" borderId="3" applyNumberFormat="0" applyFill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5" fillId="0" borderId="0" applyNumberFormat="0" applyFill="0" applyBorder="0" applyAlignment="0" applyProtection="0"/>
    <xf numFmtId="0" fontId="16" fillId="7" borderId="1" applyNumberFormat="0" applyAlignment="0" applyProtection="0"/>
    <xf numFmtId="0" fontId="17" fillId="0" borderId="6" applyNumberFormat="0" applyFill="0" applyAlignment="0" applyProtection="0"/>
    <xf numFmtId="0" fontId="18" fillId="22" borderId="0" applyNumberFormat="0" applyBorder="0" applyAlignment="0" applyProtection="0"/>
    <xf numFmtId="0" fontId="1" fillId="0" borderId="0"/>
    <xf numFmtId="0" fontId="2" fillId="23" borderId="7" applyNumberFormat="0" applyFont="0" applyAlignment="0" applyProtection="0"/>
    <xf numFmtId="0" fontId="19" fillId="20" borderId="8" applyNumberFormat="0" applyAlignment="0" applyProtection="0"/>
    <xf numFmtId="0" fontId="20" fillId="0" borderId="0" applyNumberFormat="0" applyFill="0" applyBorder="0" applyAlignment="0" applyProtection="0"/>
    <xf numFmtId="0" fontId="21" fillId="0" borderId="9" applyNumberFormat="0" applyFill="0" applyAlignment="0" applyProtection="0"/>
    <xf numFmtId="0" fontId="22" fillId="0" borderId="0" applyNumberFormat="0" applyFill="0" applyBorder="0" applyAlignment="0" applyProtection="0"/>
    <xf numFmtId="43" fontId="40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6" fillId="0" borderId="0" applyFont="0" applyFill="0" applyBorder="0" applyAlignment="0" applyProtection="0"/>
    <xf numFmtId="43" fontId="40" fillId="0" borderId="0" applyFont="0" applyFill="0" applyBorder="0" applyAlignment="0" applyProtection="0"/>
    <xf numFmtId="0" fontId="3" fillId="0" borderId="0"/>
    <xf numFmtId="0" fontId="1" fillId="0" borderId="0"/>
    <xf numFmtId="0" fontId="4" fillId="0" borderId="0"/>
    <xf numFmtId="0" fontId="5" fillId="0" borderId="0"/>
    <xf numFmtId="0" fontId="25" fillId="0" borderId="0"/>
  </cellStyleXfs>
  <cellXfs count="407">
    <xf numFmtId="0" fontId="0" fillId="0" borderId="0" xfId="0"/>
    <xf numFmtId="0" fontId="41" fillId="0" borderId="0" xfId="0" applyFont="1"/>
    <xf numFmtId="0" fontId="42" fillId="0" borderId="0" xfId="0" applyFont="1"/>
    <xf numFmtId="43" fontId="42" fillId="0" borderId="0" xfId="43" applyFont="1"/>
    <xf numFmtId="0" fontId="43" fillId="0" borderId="0" xfId="0" applyFont="1" applyAlignment="1"/>
    <xf numFmtId="0" fontId="42" fillId="0" borderId="0" xfId="0" applyFont="1" applyBorder="1"/>
    <xf numFmtId="0" fontId="23" fillId="0" borderId="0" xfId="0" applyFont="1"/>
    <xf numFmtId="0" fontId="44" fillId="0" borderId="0" xfId="0" applyFont="1"/>
    <xf numFmtId="0" fontId="23" fillId="0" borderId="0" xfId="55" applyFont="1"/>
    <xf numFmtId="0" fontId="24" fillId="0" borderId="0" xfId="55" applyFont="1"/>
    <xf numFmtId="43" fontId="23" fillId="0" borderId="0" xfId="44" applyFont="1" applyBorder="1" applyAlignment="1">
      <alignment horizontal="right"/>
    </xf>
    <xf numFmtId="0" fontId="45" fillId="0" borderId="0" xfId="0" applyFont="1"/>
    <xf numFmtId="43" fontId="42" fillId="0" borderId="0" xfId="0" applyNumberFormat="1" applyFont="1" applyBorder="1"/>
    <xf numFmtId="0" fontId="43" fillId="0" borderId="0" xfId="0" applyFont="1"/>
    <xf numFmtId="0" fontId="43" fillId="0" borderId="0" xfId="0" applyFont="1" applyAlignment="1">
      <alignment horizontal="center"/>
    </xf>
    <xf numFmtId="0" fontId="42" fillId="0" borderId="0" xfId="0" applyFont="1" applyAlignment="1">
      <alignment horizontal="center"/>
    </xf>
    <xf numFmtId="0" fontId="28" fillId="0" borderId="10" xfId="53" applyFont="1" applyBorder="1" applyAlignment="1">
      <alignment horizontal="center" vertical="center"/>
    </xf>
    <xf numFmtId="0" fontId="23" fillId="0" borderId="11" xfId="53" applyFont="1" applyBorder="1"/>
    <xf numFmtId="43" fontId="23" fillId="0" borderId="12" xfId="44" applyFont="1" applyBorder="1" applyAlignment="1">
      <alignment horizontal="center"/>
    </xf>
    <xf numFmtId="43" fontId="23" fillId="0" borderId="12" xfId="44" applyFont="1" applyBorder="1" applyAlignment="1">
      <alignment horizontal="left"/>
    </xf>
    <xf numFmtId="43" fontId="23" fillId="0" borderId="13" xfId="44" applyFont="1" applyBorder="1"/>
    <xf numFmtId="43" fontId="23" fillId="0" borderId="12" xfId="44" applyFont="1" applyBorder="1"/>
    <xf numFmtId="43" fontId="28" fillId="0" borderId="10" xfId="44" applyFont="1" applyBorder="1"/>
    <xf numFmtId="43" fontId="23" fillId="0" borderId="13" xfId="44" applyFont="1" applyBorder="1" applyAlignment="1">
      <alignment horizontal="center"/>
    </xf>
    <xf numFmtId="43" fontId="28" fillId="0" borderId="12" xfId="44" applyFont="1" applyBorder="1"/>
    <xf numFmtId="0" fontId="23" fillId="0" borderId="12" xfId="0" applyFont="1" applyBorder="1"/>
    <xf numFmtId="43" fontId="23" fillId="0" borderId="12" xfId="44" applyFont="1" applyBorder="1" applyAlignment="1">
      <alignment horizontal="right"/>
    </xf>
    <xf numFmtId="43" fontId="28" fillId="0" borderId="10" xfId="44" applyFont="1" applyBorder="1" applyAlignment="1">
      <alignment horizontal="right"/>
    </xf>
    <xf numFmtId="43" fontId="23" fillId="0" borderId="14" xfId="44" applyFont="1" applyBorder="1" applyAlignment="1">
      <alignment horizontal="center"/>
    </xf>
    <xf numFmtId="43" fontId="28" fillId="0" borderId="14" xfId="44" applyFont="1" applyBorder="1"/>
    <xf numFmtId="43" fontId="23" fillId="24" borderId="10" xfId="44" applyFont="1" applyFill="1" applyBorder="1" applyAlignment="1">
      <alignment horizontal="center"/>
    </xf>
    <xf numFmtId="43" fontId="28" fillId="24" borderId="0" xfId="44" applyFont="1" applyFill="1" applyBorder="1"/>
    <xf numFmtId="43" fontId="23" fillId="24" borderId="0" xfId="44" applyFont="1" applyFill="1" applyBorder="1" applyAlignment="1">
      <alignment horizontal="center"/>
    </xf>
    <xf numFmtId="0" fontId="27" fillId="0" borderId="0" xfId="0" applyFont="1" applyBorder="1"/>
    <xf numFmtId="0" fontId="23" fillId="0" borderId="0" xfId="0" applyFont="1" applyBorder="1"/>
    <xf numFmtId="43" fontId="27" fillId="0" borderId="0" xfId="43" applyFont="1"/>
    <xf numFmtId="0" fontId="27" fillId="0" borderId="0" xfId="0" applyFont="1"/>
    <xf numFmtId="0" fontId="23" fillId="0" borderId="0" xfId="55" applyFont="1" applyAlignment="1"/>
    <xf numFmtId="0" fontId="28" fillId="0" borderId="0" xfId="55" applyFont="1" applyAlignment="1">
      <alignment horizontal="center"/>
    </xf>
    <xf numFmtId="43" fontId="23" fillId="0" borderId="0" xfId="43" applyFont="1" applyBorder="1"/>
    <xf numFmtId="43" fontId="23" fillId="0" borderId="0" xfId="43" applyFont="1"/>
    <xf numFmtId="0" fontId="27" fillId="0" borderId="12" xfId="0" applyFont="1" applyBorder="1"/>
    <xf numFmtId="43" fontId="27" fillId="0" borderId="12" xfId="43" applyFont="1" applyBorder="1"/>
    <xf numFmtId="0" fontId="41" fillId="0" borderId="0" xfId="0" applyFont="1" applyBorder="1"/>
    <xf numFmtId="0" fontId="43" fillId="0" borderId="10" xfId="0" applyFont="1" applyBorder="1" applyAlignment="1">
      <alignment horizontal="center"/>
    </xf>
    <xf numFmtId="0" fontId="27" fillId="0" borderId="12" xfId="0" applyFont="1" applyBorder="1" applyAlignment="1">
      <alignment horizontal="center" vertical="center"/>
    </xf>
    <xf numFmtId="0" fontId="27" fillId="0" borderId="12" xfId="0" applyFont="1" applyBorder="1" applyAlignment="1">
      <alignment horizontal="center"/>
    </xf>
    <xf numFmtId="43" fontId="27" fillId="0" borderId="0" xfId="43" applyFont="1" applyBorder="1"/>
    <xf numFmtId="43" fontId="42" fillId="0" borderId="12" xfId="43" applyFont="1" applyBorder="1"/>
    <xf numFmtId="0" fontId="42" fillId="0" borderId="12" xfId="0" applyFont="1" applyBorder="1"/>
    <xf numFmtId="0" fontId="43" fillId="0" borderId="10" xfId="0" applyFont="1" applyBorder="1"/>
    <xf numFmtId="43" fontId="42" fillId="0" borderId="0" xfId="0" applyNumberFormat="1" applyFont="1"/>
    <xf numFmtId="0" fontId="42" fillId="0" borderId="15" xfId="0" applyFont="1" applyBorder="1"/>
    <xf numFmtId="43" fontId="42" fillId="0" borderId="15" xfId="43" applyFont="1" applyBorder="1"/>
    <xf numFmtId="0" fontId="42" fillId="0" borderId="16" xfId="0" applyFont="1" applyBorder="1"/>
    <xf numFmtId="43" fontId="42" fillId="0" borderId="16" xfId="43" applyFont="1" applyBorder="1"/>
    <xf numFmtId="0" fontId="42" fillId="0" borderId="17" xfId="0" applyFont="1" applyBorder="1"/>
    <xf numFmtId="43" fontId="42" fillId="0" borderId="17" xfId="43" applyFont="1" applyBorder="1"/>
    <xf numFmtId="43" fontId="43" fillId="0" borderId="10" xfId="43" applyFont="1" applyBorder="1"/>
    <xf numFmtId="0" fontId="23" fillId="0" borderId="0" xfId="0" applyFont="1" applyAlignment="1" applyProtection="1">
      <alignment vertical="top"/>
      <protection locked="0"/>
    </xf>
    <xf numFmtId="0" fontId="23" fillId="0" borderId="0" xfId="0" applyFont="1" applyBorder="1" applyAlignment="1" applyProtection="1">
      <alignment horizontal="center" vertical="top"/>
      <protection locked="0"/>
    </xf>
    <xf numFmtId="0" fontId="28" fillId="0" borderId="10" xfId="0" applyFont="1" applyBorder="1" applyAlignment="1">
      <alignment horizontal="center"/>
    </xf>
    <xf numFmtId="0" fontId="23" fillId="0" borderId="16" xfId="0" applyFont="1" applyBorder="1" applyAlignment="1">
      <alignment horizontal="left" vertical="center" wrapText="1"/>
    </xf>
    <xf numFmtId="0" fontId="23" fillId="0" borderId="16" xfId="0" applyNumberFormat="1" applyFont="1" applyBorder="1" applyAlignment="1">
      <alignment horizontal="left" vertical="center"/>
    </xf>
    <xf numFmtId="0" fontId="23" fillId="0" borderId="16" xfId="0" applyNumberFormat="1" applyFont="1" applyBorder="1" applyAlignment="1">
      <alignment vertical="center" wrapText="1"/>
    </xf>
    <xf numFmtId="43" fontId="23" fillId="0" borderId="16" xfId="43" applyFont="1" applyBorder="1"/>
    <xf numFmtId="0" fontId="23" fillId="0" borderId="16" xfId="46" applyNumberFormat="1" applyFont="1" applyFill="1" applyBorder="1" applyAlignment="1">
      <alignment vertical="center"/>
    </xf>
    <xf numFmtId="190" fontId="23" fillId="0" borderId="16" xfId="0" applyNumberFormat="1" applyFont="1" applyFill="1" applyBorder="1" applyAlignment="1">
      <alignment horizontal="left" vertical="center"/>
    </xf>
    <xf numFmtId="0" fontId="23" fillId="0" borderId="16" xfId="55" applyFont="1" applyBorder="1" applyAlignment="1">
      <alignment vertical="center" wrapText="1"/>
    </xf>
    <xf numFmtId="43" fontId="23" fillId="0" borderId="16" xfId="43" applyFont="1" applyBorder="1" applyAlignment="1">
      <alignment vertical="top"/>
    </xf>
    <xf numFmtId="0" fontId="23" fillId="0" borderId="0" xfId="0" applyFont="1" applyAlignment="1">
      <alignment vertical="top"/>
    </xf>
    <xf numFmtId="0" fontId="23" fillId="0" borderId="16" xfId="0" applyNumberFormat="1" applyFont="1" applyFill="1" applyBorder="1" applyAlignment="1">
      <alignment horizontal="left" vertical="center"/>
    </xf>
    <xf numFmtId="0" fontId="23" fillId="0" borderId="16" xfId="0" applyFont="1" applyFill="1" applyBorder="1" applyAlignment="1">
      <alignment horizontal="left" vertical="center" wrapText="1"/>
    </xf>
    <xf numFmtId="187" fontId="23" fillId="0" borderId="16" xfId="43" applyNumberFormat="1" applyFont="1" applyFill="1" applyBorder="1" applyAlignment="1">
      <alignment horizontal="center" vertical="center"/>
    </xf>
    <xf numFmtId="0" fontId="23" fillId="0" borderId="10" xfId="0" applyFont="1" applyBorder="1"/>
    <xf numFmtId="0" fontId="28" fillId="0" borderId="0" xfId="0" applyFont="1" applyBorder="1" applyAlignment="1">
      <alignment horizontal="center"/>
    </xf>
    <xf numFmtId="43" fontId="28" fillId="0" borderId="0" xfId="0" applyNumberFormat="1" applyFont="1" applyBorder="1"/>
    <xf numFmtId="0" fontId="23" fillId="0" borderId="0" xfId="0" applyFont="1" applyBorder="1" applyAlignment="1">
      <alignment horizontal="left" wrapText="1"/>
    </xf>
    <xf numFmtId="0" fontId="46" fillId="0" borderId="0" xfId="0" applyFont="1"/>
    <xf numFmtId="43" fontId="46" fillId="0" borderId="0" xfId="52" applyFont="1"/>
    <xf numFmtId="43" fontId="46" fillId="0" borderId="11" xfId="52" applyFont="1" applyBorder="1" applyAlignment="1">
      <alignment horizontal="center"/>
    </xf>
    <xf numFmtId="43" fontId="46" fillId="0" borderId="14" xfId="52" applyFont="1" applyBorder="1" applyAlignment="1">
      <alignment horizontal="center"/>
    </xf>
    <xf numFmtId="0" fontId="44" fillId="0" borderId="10" xfId="0" applyFont="1" applyBorder="1" applyAlignment="1">
      <alignment horizontal="left" vertical="top"/>
    </xf>
    <xf numFmtId="0" fontId="29" fillId="0" borderId="10" xfId="0" applyFont="1" applyBorder="1" applyAlignment="1">
      <alignment vertical="top" wrapText="1"/>
    </xf>
    <xf numFmtId="43" fontId="29" fillId="0" borderId="10" xfId="46" applyFont="1" applyBorder="1" applyAlignment="1">
      <alignment horizontal="center" vertical="top"/>
    </xf>
    <xf numFmtId="43" fontId="29" fillId="0" borderId="10" xfId="46" applyFont="1" applyBorder="1" applyAlignment="1">
      <alignment vertical="top"/>
    </xf>
    <xf numFmtId="43" fontId="44" fillId="0" borderId="10" xfId="52" applyFont="1" applyBorder="1" applyAlignment="1">
      <alignment horizontal="center" vertical="top"/>
    </xf>
    <xf numFmtId="43" fontId="44" fillId="0" borderId="10" xfId="0" applyNumberFormat="1" applyFont="1" applyBorder="1" applyAlignment="1">
      <alignment horizontal="center" vertical="top"/>
    </xf>
    <xf numFmtId="0" fontId="44" fillId="0" borderId="0" xfId="0" applyFont="1" applyAlignment="1">
      <alignment vertical="top"/>
    </xf>
    <xf numFmtId="43" fontId="46" fillId="0" borderId="18" xfId="52" applyFont="1" applyBorder="1"/>
    <xf numFmtId="0" fontId="45" fillId="0" borderId="0" xfId="0" applyFont="1" applyBorder="1"/>
    <xf numFmtId="0" fontId="47" fillId="0" borderId="0" xfId="0" applyFont="1" applyAlignment="1">
      <alignment horizontal="center" wrapText="1" shrinkToFit="1"/>
    </xf>
    <xf numFmtId="0" fontId="48" fillId="0" borderId="10" xfId="0" applyFont="1" applyBorder="1" applyAlignment="1">
      <alignment horizontal="center" vertical="center" shrinkToFit="1"/>
    </xf>
    <xf numFmtId="0" fontId="49" fillId="0" borderId="10" xfId="0" applyFont="1" applyBorder="1" applyAlignment="1">
      <alignment horizontal="center" vertical="center" wrapText="1" shrinkToFit="1"/>
    </xf>
    <xf numFmtId="0" fontId="48" fillId="0" borderId="10" xfId="0" applyFont="1" applyBorder="1" applyAlignment="1">
      <alignment horizontal="center" vertical="center" wrapText="1" shrinkToFit="1"/>
    </xf>
    <xf numFmtId="0" fontId="43" fillId="0" borderId="10" xfId="0" applyFont="1" applyBorder="1" applyAlignment="1">
      <alignment horizontal="center" vertical="center" wrapText="1" shrinkToFit="1"/>
    </xf>
    <xf numFmtId="0" fontId="50" fillId="0" borderId="0" xfId="0" applyFont="1" applyBorder="1"/>
    <xf numFmtId="0" fontId="48" fillId="0" borderId="0" xfId="0" applyFont="1" applyAlignment="1">
      <alignment horizontal="center" wrapText="1" shrinkToFit="1"/>
    </xf>
    <xf numFmtId="0" fontId="51" fillId="0" borderId="11" xfId="0" applyFont="1" applyBorder="1" applyAlignment="1">
      <alignment horizontal="left" vertical="center" wrapText="1" shrinkToFit="1"/>
    </xf>
    <xf numFmtId="0" fontId="48" fillId="0" borderId="11" xfId="0" applyFont="1" applyBorder="1" applyAlignment="1">
      <alignment horizontal="center" vertical="center" wrapText="1" shrinkToFit="1"/>
    </xf>
    <xf numFmtId="0" fontId="52" fillId="0" borderId="0" xfId="0" applyFont="1" applyBorder="1" applyAlignment="1">
      <alignment horizontal="right"/>
    </xf>
    <xf numFmtId="0" fontId="45" fillId="0" borderId="12" xfId="0" applyFont="1" applyBorder="1" applyAlignment="1">
      <alignment horizontal="left" vertical="center" wrapText="1" shrinkToFit="1"/>
    </xf>
    <xf numFmtId="4" fontId="45" fillId="0" borderId="12" xfId="0" applyNumberFormat="1" applyFont="1" applyBorder="1" applyAlignment="1">
      <alignment horizontal="right" vertical="center" wrapText="1" shrinkToFit="1"/>
    </xf>
    <xf numFmtId="0" fontId="49" fillId="0" borderId="12" xfId="0" applyFont="1" applyBorder="1" applyAlignment="1">
      <alignment horizontal="right" vertical="center" wrapText="1" shrinkToFit="1"/>
    </xf>
    <xf numFmtId="43" fontId="52" fillId="0" borderId="0" xfId="43" applyFont="1" applyBorder="1"/>
    <xf numFmtId="4" fontId="52" fillId="0" borderId="0" xfId="0" applyNumberFormat="1" applyFont="1" applyBorder="1"/>
    <xf numFmtId="0" fontId="45" fillId="0" borderId="0" xfId="0" applyFont="1" applyAlignment="1">
      <alignment horizontal="center" wrapText="1" shrinkToFit="1"/>
    </xf>
    <xf numFmtId="0" fontId="45" fillId="0" borderId="12" xfId="0" applyFont="1" applyBorder="1" applyAlignment="1">
      <alignment horizontal="left" wrapText="1" shrinkToFit="1"/>
    </xf>
    <xf numFmtId="4" fontId="45" fillId="0" borderId="12" xfId="0" applyNumberFormat="1" applyFont="1" applyBorder="1" applyAlignment="1">
      <alignment horizontal="right" vertical="center" shrinkToFit="1"/>
    </xf>
    <xf numFmtId="0" fontId="45" fillId="0" borderId="10" xfId="0" applyFont="1" applyBorder="1" applyAlignment="1">
      <alignment horizontal="center" vertical="center" shrinkToFit="1"/>
    </xf>
    <xf numFmtId="0" fontId="45" fillId="0" borderId="10" xfId="0" applyFont="1" applyBorder="1" applyAlignment="1">
      <alignment horizontal="center" vertical="center" wrapText="1" shrinkToFit="1"/>
    </xf>
    <xf numFmtId="43" fontId="45" fillId="0" borderId="12" xfId="43" applyFont="1" applyBorder="1" applyAlignment="1">
      <alignment horizontal="right" vertical="center" shrinkToFit="1"/>
    </xf>
    <xf numFmtId="0" fontId="53" fillId="0" borderId="11" xfId="0" applyFont="1" applyBorder="1" applyAlignment="1">
      <alignment horizontal="left" vertical="center" wrapText="1" shrinkToFit="1"/>
    </xf>
    <xf numFmtId="0" fontId="49" fillId="0" borderId="11" xfId="0" applyFont="1" applyBorder="1" applyAlignment="1">
      <alignment horizontal="center" vertical="center" wrapText="1" shrinkToFit="1"/>
    </xf>
    <xf numFmtId="4" fontId="45" fillId="0" borderId="12" xfId="0" applyNumberFormat="1" applyFont="1" applyBorder="1" applyAlignment="1">
      <alignment horizontal="center" vertical="center" wrapText="1" shrinkToFit="1"/>
    </xf>
    <xf numFmtId="4" fontId="45" fillId="0" borderId="12" xfId="0" applyNumberFormat="1" applyFont="1" applyBorder="1" applyAlignment="1">
      <alignment horizontal="center" vertical="center" shrinkToFit="1"/>
    </xf>
    <xf numFmtId="43" fontId="24" fillId="0" borderId="12" xfId="43" applyFont="1" applyBorder="1" applyAlignment="1">
      <alignment horizontal="right" vertical="center" shrinkToFit="1"/>
    </xf>
    <xf numFmtId="4" fontId="24" fillId="0" borderId="12" xfId="0" applyNumberFormat="1" applyFont="1" applyBorder="1" applyAlignment="1">
      <alignment horizontal="center" vertical="center" shrinkToFit="1"/>
    </xf>
    <xf numFmtId="0" fontId="45" fillId="0" borderId="14" xfId="0" applyFont="1" applyBorder="1" applyAlignment="1">
      <alignment horizontal="left" vertical="center" wrapText="1" shrinkToFit="1"/>
    </xf>
    <xf numFmtId="4" fontId="45" fillId="0" borderId="14" xfId="0" applyNumberFormat="1" applyFont="1" applyBorder="1" applyAlignment="1">
      <alignment horizontal="right" vertical="center" wrapText="1" shrinkToFit="1"/>
    </xf>
    <xf numFmtId="4" fontId="45" fillId="0" borderId="14" xfId="0" applyNumberFormat="1" applyFont="1" applyBorder="1" applyAlignment="1">
      <alignment horizontal="right" vertical="center" shrinkToFit="1"/>
    </xf>
    <xf numFmtId="0" fontId="49" fillId="0" borderId="19" xfId="0" applyFont="1" applyBorder="1" applyAlignment="1">
      <alignment horizontal="center" wrapText="1" shrinkToFit="1"/>
    </xf>
    <xf numFmtId="4" fontId="49" fillId="0" borderId="19" xfId="0" applyNumberFormat="1" applyFont="1" applyBorder="1" applyAlignment="1">
      <alignment horizontal="right" wrapText="1" shrinkToFit="1"/>
    </xf>
    <xf numFmtId="4" fontId="49" fillId="0" borderId="19" xfId="0" applyNumberFormat="1" applyFont="1" applyBorder="1" applyAlignment="1">
      <alignment horizontal="right" vertical="center" wrapText="1" shrinkToFit="1"/>
    </xf>
    <xf numFmtId="4" fontId="49" fillId="0" borderId="19" xfId="0" applyNumberFormat="1" applyFont="1" applyBorder="1" applyAlignment="1">
      <alignment horizontal="right" shrinkToFit="1"/>
    </xf>
    <xf numFmtId="0" fontId="53" fillId="0" borderId="12" xfId="0" applyFont="1" applyBorder="1" applyAlignment="1">
      <alignment horizontal="left" wrapText="1" shrinkToFit="1"/>
    </xf>
    <xf numFmtId="4" fontId="45" fillId="0" borderId="12" xfId="0" applyNumberFormat="1" applyFont="1" applyBorder="1" applyAlignment="1">
      <alignment horizontal="right" wrapText="1" shrinkToFit="1"/>
    </xf>
    <xf numFmtId="4" fontId="45" fillId="0" borderId="14" xfId="0" applyNumberFormat="1" applyFont="1" applyBorder="1" applyAlignment="1">
      <alignment horizontal="center" vertical="center" wrapText="1" shrinkToFit="1"/>
    </xf>
    <xf numFmtId="4" fontId="45" fillId="0" borderId="14" xfId="0" applyNumberFormat="1" applyFont="1" applyBorder="1" applyAlignment="1">
      <alignment horizontal="center" vertical="center" shrinkToFit="1"/>
    </xf>
    <xf numFmtId="0" fontId="45" fillId="0" borderId="12" xfId="0" applyFont="1" applyBorder="1" applyAlignment="1">
      <alignment wrapText="1" shrinkToFit="1"/>
    </xf>
    <xf numFmtId="4" fontId="45" fillId="0" borderId="12" xfId="43" applyNumberFormat="1" applyFont="1" applyBorder="1" applyAlignment="1">
      <alignment horizontal="right" vertical="center" wrapText="1" shrinkToFit="1"/>
    </xf>
    <xf numFmtId="0" fontId="45" fillId="0" borderId="12" xfId="0" applyFont="1" applyBorder="1" applyAlignment="1">
      <alignment horizontal="right" wrapText="1" shrinkToFit="1"/>
    </xf>
    <xf numFmtId="0" fontId="49" fillId="0" borderId="10" xfId="0" applyFont="1" applyBorder="1" applyAlignment="1">
      <alignment horizontal="center" wrapText="1" shrinkToFit="1"/>
    </xf>
    <xf numFmtId="4" fontId="49" fillId="0" borderId="19" xfId="0" applyNumberFormat="1" applyFont="1" applyBorder="1" applyAlignment="1">
      <alignment horizontal="center" wrapText="1" shrinkToFit="1"/>
    </xf>
    <xf numFmtId="4" fontId="45" fillId="0" borderId="19" xfId="0" applyNumberFormat="1" applyFont="1" applyBorder="1" applyAlignment="1">
      <alignment horizontal="center" vertical="center" wrapText="1" shrinkToFit="1"/>
    </xf>
    <xf numFmtId="4" fontId="49" fillId="0" borderId="10" xfId="0" applyNumberFormat="1" applyFont="1" applyBorder="1" applyAlignment="1">
      <alignment horizontal="center" shrinkToFit="1"/>
    </xf>
    <xf numFmtId="4" fontId="45" fillId="0" borderId="12" xfId="0" applyNumberFormat="1" applyFont="1" applyBorder="1" applyAlignment="1">
      <alignment wrapText="1" shrinkToFit="1"/>
    </xf>
    <xf numFmtId="4" fontId="45" fillId="0" borderId="12" xfId="43" applyNumberFormat="1" applyFont="1" applyBorder="1" applyAlignment="1">
      <alignment horizontal="center" vertical="center" wrapText="1" shrinkToFit="1"/>
    </xf>
    <xf numFmtId="0" fontId="45" fillId="0" borderId="12" xfId="0" applyFont="1" applyBorder="1" applyAlignment="1">
      <alignment shrinkToFit="1"/>
    </xf>
    <xf numFmtId="4" fontId="49" fillId="0" borderId="12" xfId="0" applyNumberFormat="1" applyFont="1" applyBorder="1" applyAlignment="1">
      <alignment horizontal="right" vertical="center" wrapText="1" shrinkToFit="1"/>
    </xf>
    <xf numFmtId="4" fontId="49" fillId="0" borderId="14" xfId="0" applyNumberFormat="1" applyFont="1" applyBorder="1" applyAlignment="1">
      <alignment horizontal="right" vertical="center" wrapText="1" shrinkToFit="1"/>
    </xf>
    <xf numFmtId="0" fontId="45" fillId="0" borderId="14" xfId="0" applyFont="1" applyBorder="1" applyAlignment="1">
      <alignment horizontal="right" wrapText="1" shrinkToFit="1"/>
    </xf>
    <xf numFmtId="4" fontId="49" fillId="0" borderId="20" xfId="0" applyNumberFormat="1" applyFont="1" applyBorder="1" applyAlignment="1">
      <alignment horizontal="right" vertical="center" wrapText="1" shrinkToFit="1"/>
    </xf>
    <xf numFmtId="0" fontId="45" fillId="0" borderId="20" xfId="0" applyFont="1" applyBorder="1" applyAlignment="1">
      <alignment horizontal="right" wrapText="1" shrinkToFit="1"/>
    </xf>
    <xf numFmtId="0" fontId="49" fillId="0" borderId="0" xfId="0" applyFont="1" applyAlignment="1">
      <alignment vertical="center" wrapText="1" shrinkToFit="1"/>
    </xf>
    <xf numFmtId="0" fontId="45" fillId="0" borderId="0" xfId="0" applyFont="1" applyAlignment="1">
      <alignment horizontal="right" wrapText="1" shrinkToFit="1"/>
    </xf>
    <xf numFmtId="4" fontId="49" fillId="0" borderId="0" xfId="0" applyNumberFormat="1" applyFont="1" applyBorder="1" applyAlignment="1">
      <alignment horizontal="right" wrapText="1" shrinkToFit="1"/>
    </xf>
    <xf numFmtId="4" fontId="49" fillId="0" borderId="21" xfId="0" applyNumberFormat="1" applyFont="1" applyBorder="1" applyAlignment="1">
      <alignment horizontal="right" wrapText="1" shrinkToFit="1"/>
    </xf>
    <xf numFmtId="4" fontId="49" fillId="0" borderId="22" xfId="0" applyNumberFormat="1" applyFont="1" applyBorder="1" applyAlignment="1">
      <alignment horizontal="right" vertical="center" wrapText="1" shrinkToFit="1"/>
    </xf>
    <xf numFmtId="0" fontId="45" fillId="0" borderId="14" xfId="0" applyFont="1" applyBorder="1" applyAlignment="1">
      <alignment shrinkToFit="1"/>
    </xf>
    <xf numFmtId="4" fontId="49" fillId="0" borderId="20" xfId="0" applyNumberFormat="1" applyFont="1" applyBorder="1" applyAlignment="1">
      <alignment horizontal="center" vertical="center" wrapText="1" shrinkToFit="1"/>
    </xf>
    <xf numFmtId="0" fontId="45" fillId="0" borderId="14" xfId="0" applyFont="1" applyBorder="1" applyAlignment="1">
      <alignment wrapText="1" shrinkToFit="1"/>
    </xf>
    <xf numFmtId="0" fontId="42" fillId="0" borderId="0" xfId="0" applyFont="1" applyAlignment="1">
      <alignment wrapText="1" shrinkToFit="1"/>
    </xf>
    <xf numFmtId="0" fontId="43" fillId="0" borderId="20" xfId="0" applyFont="1" applyBorder="1" applyAlignment="1">
      <alignment horizontal="center" wrapText="1" shrinkToFit="1"/>
    </xf>
    <xf numFmtId="4" fontId="43" fillId="0" borderId="20" xfId="0" applyNumberFormat="1" applyFont="1" applyBorder="1" applyAlignment="1">
      <alignment wrapText="1" shrinkToFit="1"/>
    </xf>
    <xf numFmtId="4" fontId="43" fillId="0" borderId="23" xfId="0" applyNumberFormat="1" applyFont="1" applyBorder="1" applyAlignment="1">
      <alignment horizontal="center" vertical="center" wrapText="1" shrinkToFit="1"/>
    </xf>
    <xf numFmtId="4" fontId="43" fillId="0" borderId="20" xfId="0" applyNumberFormat="1" applyFont="1" applyBorder="1" applyAlignment="1">
      <alignment horizontal="center" vertical="center" wrapText="1" shrinkToFit="1"/>
    </xf>
    <xf numFmtId="0" fontId="42" fillId="0" borderId="20" xfId="0" applyFont="1" applyBorder="1" applyAlignment="1">
      <alignment wrapText="1" shrinkToFit="1"/>
    </xf>
    <xf numFmtId="0" fontId="54" fillId="0" borderId="0" xfId="0" applyFont="1" applyAlignment="1">
      <alignment vertical="center" wrapText="1" shrinkToFit="1"/>
    </xf>
    <xf numFmtId="0" fontId="54" fillId="0" borderId="0" xfId="0" applyFont="1" applyAlignment="1">
      <alignment vertical="center"/>
    </xf>
    <xf numFmtId="0" fontId="42" fillId="0" borderId="0" xfId="0" applyFont="1" applyAlignment="1">
      <alignment vertical="center" wrapText="1" shrinkToFit="1"/>
    </xf>
    <xf numFmtId="4" fontId="43" fillId="0" borderId="19" xfId="0" applyNumberFormat="1" applyFont="1" applyBorder="1" applyAlignment="1">
      <alignment horizontal="center" wrapText="1" shrinkToFit="1"/>
    </xf>
    <xf numFmtId="4" fontId="43" fillId="0" borderId="22" xfId="0" applyNumberFormat="1" applyFont="1" applyBorder="1" applyAlignment="1">
      <alignment horizontal="center" vertical="center" wrapText="1" shrinkToFit="1"/>
    </xf>
    <xf numFmtId="0" fontId="54" fillId="0" borderId="0" xfId="0" applyFont="1" applyAlignment="1">
      <alignment horizontal="center" vertical="center" wrapText="1" shrinkToFit="1"/>
    </xf>
    <xf numFmtId="0" fontId="41" fillId="0" borderId="0" xfId="0" applyFont="1" applyAlignment="1">
      <alignment wrapText="1" shrinkToFit="1"/>
    </xf>
    <xf numFmtId="43" fontId="23" fillId="0" borderId="0" xfId="0" applyNumberFormat="1" applyFont="1" applyAlignment="1"/>
    <xf numFmtId="0" fontId="23" fillId="0" borderId="0" xfId="0" quotePrefix="1" applyFont="1"/>
    <xf numFmtId="0" fontId="23" fillId="0" borderId="0" xfId="0" applyFont="1" applyAlignment="1">
      <alignment horizontal="center"/>
    </xf>
    <xf numFmtId="4" fontId="23" fillId="0" borderId="0" xfId="0" applyNumberFormat="1" applyFont="1"/>
    <xf numFmtId="4" fontId="23" fillId="0" borderId="0" xfId="0" applyNumberFormat="1" applyFont="1" applyBorder="1"/>
    <xf numFmtId="0" fontId="23" fillId="0" borderId="0" xfId="0" applyFont="1" applyBorder="1" applyAlignment="1">
      <alignment horizontal="left"/>
    </xf>
    <xf numFmtId="0" fontId="42" fillId="0" borderId="24" xfId="0" applyFont="1" applyBorder="1"/>
    <xf numFmtId="43" fontId="42" fillId="0" borderId="24" xfId="43" applyFont="1" applyBorder="1"/>
    <xf numFmtId="0" fontId="23" fillId="0" borderId="25" xfId="43" applyNumberFormat="1" applyFont="1" applyBorder="1" applyAlignment="1">
      <alignment horizontal="left" vertical="center" wrapText="1"/>
    </xf>
    <xf numFmtId="0" fontId="23" fillId="0" borderId="24" xfId="0" applyNumberFormat="1" applyFont="1" applyFill="1" applyBorder="1" applyAlignment="1">
      <alignment horizontal="left" vertical="center"/>
    </xf>
    <xf numFmtId="0" fontId="23" fillId="0" borderId="24" xfId="0" applyFont="1" applyFill="1" applyBorder="1" applyAlignment="1">
      <alignment horizontal="left" vertical="center" wrapText="1"/>
    </xf>
    <xf numFmtId="0" fontId="23" fillId="0" borderId="24" xfId="0" applyNumberFormat="1" applyFont="1" applyBorder="1" applyAlignment="1">
      <alignment horizontal="left" vertical="center"/>
    </xf>
    <xf numFmtId="0" fontId="23" fillId="0" borderId="24" xfId="0" applyFont="1" applyBorder="1" applyAlignment="1">
      <alignment vertical="center" wrapText="1"/>
    </xf>
    <xf numFmtId="4" fontId="23" fillId="0" borderId="0" xfId="0" applyNumberFormat="1" applyFont="1" applyAlignment="1">
      <alignment vertical="top"/>
    </xf>
    <xf numFmtId="4" fontId="23" fillId="0" borderId="0" xfId="0" applyNumberFormat="1" applyFont="1" applyBorder="1" applyAlignment="1">
      <alignment vertical="top"/>
    </xf>
    <xf numFmtId="0" fontId="23" fillId="0" borderId="0" xfId="0" applyFont="1" applyAlignment="1" applyProtection="1">
      <alignment horizontal="center" vertical="top"/>
      <protection locked="0"/>
    </xf>
    <xf numFmtId="187" fontId="23" fillId="0" borderId="0" xfId="0" applyNumberFormat="1" applyFont="1"/>
    <xf numFmtId="0" fontId="42" fillId="0" borderId="12" xfId="0" applyFont="1" applyBorder="1" applyAlignment="1">
      <alignment horizontal="center"/>
    </xf>
    <xf numFmtId="0" fontId="42" fillId="0" borderId="11" xfId="0" applyFont="1" applyBorder="1"/>
    <xf numFmtId="0" fontId="43" fillId="0" borderId="0" xfId="0" applyFont="1" applyAlignment="1">
      <alignment horizontal="center"/>
    </xf>
    <xf numFmtId="0" fontId="28" fillId="0" borderId="0" xfId="53" applyFont="1" applyBorder="1" applyAlignment="1">
      <alignment horizontal="center" vertical="center"/>
    </xf>
    <xf numFmtId="0" fontId="28" fillId="0" borderId="14" xfId="53" applyFont="1" applyBorder="1" applyAlignment="1">
      <alignment horizontal="center" vertical="center"/>
    </xf>
    <xf numFmtId="0" fontId="28" fillId="0" borderId="26" xfId="53" applyFont="1" applyBorder="1" applyAlignment="1">
      <alignment horizontal="center" vertical="center"/>
    </xf>
    <xf numFmtId="0" fontId="43" fillId="0" borderId="10" xfId="0" applyFont="1" applyBorder="1" applyAlignment="1">
      <alignment horizontal="center"/>
    </xf>
    <xf numFmtId="43" fontId="42" fillId="0" borderId="0" xfId="43" applyFont="1" applyAlignment="1">
      <alignment horizontal="center"/>
    </xf>
    <xf numFmtId="43" fontId="24" fillId="0" borderId="12" xfId="44" applyFont="1" applyBorder="1" applyAlignment="1">
      <alignment horizontal="left"/>
    </xf>
    <xf numFmtId="0" fontId="31" fillId="0" borderId="27" xfId="53" applyFont="1" applyBorder="1" applyAlignment="1">
      <alignment horizontal="left" vertical="center"/>
    </xf>
    <xf numFmtId="0" fontId="31" fillId="0" borderId="12" xfId="53" applyFont="1" applyBorder="1"/>
    <xf numFmtId="0" fontId="24" fillId="0" borderId="12" xfId="53" applyFont="1" applyBorder="1" applyAlignment="1">
      <alignment horizontal="left"/>
    </xf>
    <xf numFmtId="0" fontId="31" fillId="0" borderId="28" xfId="53" applyFont="1" applyBorder="1" applyAlignment="1">
      <alignment horizontal="center"/>
    </xf>
    <xf numFmtId="0" fontId="24" fillId="0" borderId="12" xfId="0" applyFont="1" applyBorder="1"/>
    <xf numFmtId="0" fontId="31" fillId="0" borderId="29" xfId="53" applyFont="1" applyBorder="1" applyAlignment="1">
      <alignment horizontal="center"/>
    </xf>
    <xf numFmtId="0" fontId="31" fillId="24" borderId="10" xfId="53" applyFont="1" applyFill="1" applyBorder="1" applyAlignment="1">
      <alignment horizontal="center"/>
    </xf>
    <xf numFmtId="0" fontId="32" fillId="0" borderId="0" xfId="53" applyFont="1"/>
    <xf numFmtId="0" fontId="24" fillId="0" borderId="0" xfId="53" applyFont="1"/>
    <xf numFmtId="43" fontId="55" fillId="0" borderId="0" xfId="43" applyFont="1" applyAlignment="1">
      <alignment horizontal="center"/>
    </xf>
    <xf numFmtId="43" fontId="56" fillId="0" borderId="0" xfId="43" applyFont="1" applyAlignment="1">
      <alignment horizontal="center"/>
    </xf>
    <xf numFmtId="43" fontId="57" fillId="0" borderId="0" xfId="43" applyFont="1" applyAlignment="1">
      <alignment horizontal="center"/>
    </xf>
    <xf numFmtId="0" fontId="28" fillId="0" borderId="29" xfId="53" applyFont="1" applyBorder="1" applyAlignment="1">
      <alignment vertical="center"/>
    </xf>
    <xf numFmtId="0" fontId="28" fillId="0" borderId="18" xfId="53" applyFont="1" applyBorder="1" applyAlignment="1">
      <alignment vertical="center"/>
    </xf>
    <xf numFmtId="0" fontId="42" fillId="0" borderId="14" xfId="0" applyFont="1" applyBorder="1"/>
    <xf numFmtId="0" fontId="30" fillId="0" borderId="0" xfId="0" applyFont="1" applyBorder="1"/>
    <xf numFmtId="0" fontId="30" fillId="0" borderId="0" xfId="0" applyFont="1"/>
    <xf numFmtId="43" fontId="33" fillId="0" borderId="0" xfId="55" applyNumberFormat="1" applyFont="1" applyBorder="1"/>
    <xf numFmtId="43" fontId="33" fillId="0" borderId="30" xfId="55" applyNumberFormat="1" applyFont="1" applyBorder="1"/>
    <xf numFmtId="43" fontId="34" fillId="0" borderId="0" xfId="43" applyFont="1"/>
    <xf numFmtId="43" fontId="55" fillId="0" borderId="0" xfId="43" applyFont="1"/>
    <xf numFmtId="0" fontId="42" fillId="0" borderId="0" xfId="0" quotePrefix="1" applyFont="1" applyAlignment="1">
      <alignment horizontal="center"/>
    </xf>
    <xf numFmtId="43" fontId="42" fillId="0" borderId="0" xfId="43" quotePrefix="1" applyFont="1" applyAlignment="1">
      <alignment horizontal="center"/>
    </xf>
    <xf numFmtId="43" fontId="56" fillId="0" borderId="0" xfId="43" applyFont="1"/>
    <xf numFmtId="0" fontId="28" fillId="0" borderId="0" xfId="0" applyFont="1" applyAlignment="1" applyProtection="1">
      <alignment horizontal="left" vertical="top"/>
      <protection locked="0"/>
    </xf>
    <xf numFmtId="0" fontId="23" fillId="0" borderId="24" xfId="0" applyFont="1" applyBorder="1" applyAlignment="1">
      <alignment horizontal="left" wrapText="1"/>
    </xf>
    <xf numFmtId="0" fontId="43" fillId="0" borderId="0" xfId="0" applyFont="1" applyAlignment="1">
      <alignment horizontal="center"/>
    </xf>
    <xf numFmtId="0" fontId="54" fillId="0" borderId="0" xfId="0" applyFont="1" applyAlignment="1">
      <alignment horizontal="center" vertical="center" wrapText="1" shrinkToFit="1"/>
    </xf>
    <xf numFmtId="0" fontId="54" fillId="0" borderId="0" xfId="0" applyFont="1" applyAlignment="1">
      <alignment horizontal="left" vertical="center" wrapText="1" shrinkToFit="1"/>
    </xf>
    <xf numFmtId="0" fontId="31" fillId="0" borderId="11" xfId="53" applyFont="1" applyBorder="1" applyAlignment="1">
      <alignment horizontal="center" vertical="center"/>
    </xf>
    <xf numFmtId="0" fontId="43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54" fillId="0" borderId="0" xfId="0" applyFont="1" applyAlignment="1">
      <alignment horizontal="center" vertical="center" wrapText="1" shrinkToFit="1"/>
    </xf>
    <xf numFmtId="4" fontId="49" fillId="0" borderId="19" xfId="0" applyNumberFormat="1" applyFont="1" applyBorder="1" applyAlignment="1">
      <alignment horizontal="center" vertical="center" wrapText="1" shrinkToFit="1"/>
    </xf>
    <xf numFmtId="0" fontId="45" fillId="25" borderId="0" xfId="0" applyFont="1" applyFill="1" applyBorder="1"/>
    <xf numFmtId="0" fontId="41" fillId="25" borderId="0" xfId="0" applyFont="1" applyFill="1" applyBorder="1"/>
    <xf numFmtId="0" fontId="45" fillId="0" borderId="31" xfId="0" applyFont="1" applyBorder="1" applyAlignment="1">
      <alignment horizontal="center" vertical="center" wrapText="1" shrinkToFit="1"/>
    </xf>
    <xf numFmtId="0" fontId="49" fillId="0" borderId="32" xfId="0" applyFont="1" applyBorder="1" applyAlignment="1">
      <alignment horizontal="center" vertical="center" wrapText="1" shrinkToFit="1"/>
    </xf>
    <xf numFmtId="4" fontId="45" fillId="0" borderId="28" xfId="0" applyNumberFormat="1" applyFont="1" applyBorder="1" applyAlignment="1">
      <alignment horizontal="center" vertical="center" shrinkToFit="1"/>
    </xf>
    <xf numFmtId="4" fontId="45" fillId="0" borderId="29" xfId="0" applyNumberFormat="1" applyFont="1" applyBorder="1" applyAlignment="1">
      <alignment horizontal="center" vertical="center" shrinkToFit="1"/>
    </xf>
    <xf numFmtId="4" fontId="49" fillId="0" borderId="31" xfId="0" applyNumberFormat="1" applyFont="1" applyBorder="1" applyAlignment="1">
      <alignment horizontal="center" shrinkToFit="1"/>
    </xf>
    <xf numFmtId="4" fontId="45" fillId="0" borderId="28" xfId="0" applyNumberFormat="1" applyFont="1" applyBorder="1" applyAlignment="1">
      <alignment wrapText="1" shrinkToFit="1"/>
    </xf>
    <xf numFmtId="0" fontId="45" fillId="0" borderId="28" xfId="0" applyFont="1" applyBorder="1" applyAlignment="1">
      <alignment wrapText="1" shrinkToFit="1"/>
    </xf>
    <xf numFmtId="0" fontId="45" fillId="0" borderId="29" xfId="0" applyFont="1" applyBorder="1" applyAlignment="1">
      <alignment wrapText="1" shrinkToFit="1"/>
    </xf>
    <xf numFmtId="0" fontId="42" fillId="0" borderId="33" xfId="0" applyFont="1" applyBorder="1" applyAlignment="1">
      <alignment wrapText="1" shrinkToFit="1"/>
    </xf>
    <xf numFmtId="0" fontId="47" fillId="0" borderId="0" xfId="0" applyFont="1" applyBorder="1" applyAlignment="1">
      <alignment horizontal="center" wrapText="1" shrinkToFit="1"/>
    </xf>
    <xf numFmtId="0" fontId="48" fillId="0" borderId="0" xfId="0" applyFont="1" applyBorder="1" applyAlignment="1">
      <alignment horizontal="center" wrapText="1" shrinkToFit="1"/>
    </xf>
    <xf numFmtId="0" fontId="45" fillId="0" borderId="0" xfId="0" applyFont="1" applyBorder="1" applyAlignment="1">
      <alignment horizontal="center" wrapText="1" shrinkToFit="1"/>
    </xf>
    <xf numFmtId="0" fontId="45" fillId="0" borderId="0" xfId="0" applyFont="1" applyBorder="1" applyAlignment="1">
      <alignment horizontal="center" vertical="center" shrinkToFit="1"/>
    </xf>
    <xf numFmtId="0" fontId="45" fillId="0" borderId="0" xfId="0" applyFont="1" applyBorder="1" applyAlignment="1">
      <alignment horizontal="center" vertical="center" wrapText="1" shrinkToFit="1"/>
    </xf>
    <xf numFmtId="0" fontId="49" fillId="0" borderId="0" xfId="0" applyFont="1" applyBorder="1" applyAlignment="1">
      <alignment horizontal="center" vertical="center" wrapText="1" shrinkToFit="1"/>
    </xf>
    <xf numFmtId="4" fontId="45" fillId="0" borderId="0" xfId="0" applyNumberFormat="1" applyFont="1" applyBorder="1" applyAlignment="1">
      <alignment horizontal="center" vertical="center" shrinkToFit="1"/>
    </xf>
    <xf numFmtId="4" fontId="24" fillId="0" borderId="0" xfId="0" applyNumberFormat="1" applyFont="1" applyBorder="1" applyAlignment="1">
      <alignment horizontal="center" vertical="center" shrinkToFit="1"/>
    </xf>
    <xf numFmtId="4" fontId="49" fillId="0" borderId="0" xfId="0" applyNumberFormat="1" applyFont="1" applyBorder="1" applyAlignment="1">
      <alignment horizontal="center" shrinkToFit="1"/>
    </xf>
    <xf numFmtId="4" fontId="45" fillId="0" borderId="0" xfId="0" applyNumberFormat="1" applyFont="1" applyBorder="1" applyAlignment="1">
      <alignment wrapText="1" shrinkToFit="1"/>
    </xf>
    <xf numFmtId="0" fontId="45" fillId="0" borderId="0" xfId="0" applyFont="1" applyBorder="1" applyAlignment="1">
      <alignment wrapText="1" shrinkToFit="1"/>
    </xf>
    <xf numFmtId="0" fontId="42" fillId="0" borderId="0" xfId="0" applyFont="1" applyBorder="1" applyAlignment="1">
      <alignment wrapText="1" shrinkToFit="1"/>
    </xf>
    <xf numFmtId="0" fontId="54" fillId="0" borderId="0" xfId="0" applyFont="1" applyBorder="1" applyAlignment="1">
      <alignment vertical="center"/>
    </xf>
    <xf numFmtId="0" fontId="54" fillId="0" borderId="0" xfId="0" applyFont="1" applyBorder="1" applyAlignment="1">
      <alignment vertical="center" wrapText="1" shrinkToFit="1"/>
    </xf>
    <xf numFmtId="0" fontId="54" fillId="0" borderId="0" xfId="0" applyFont="1" applyBorder="1" applyAlignment="1">
      <alignment horizontal="left" vertical="center" wrapText="1" shrinkToFit="1"/>
    </xf>
    <xf numFmtId="0" fontId="54" fillId="0" borderId="0" xfId="0" applyFont="1" applyBorder="1" applyAlignment="1">
      <alignment horizontal="center" vertical="center" wrapText="1" shrinkToFit="1"/>
    </xf>
    <xf numFmtId="0" fontId="45" fillId="0" borderId="26" xfId="0" applyFont="1" applyBorder="1" applyAlignment="1">
      <alignment horizontal="center" vertical="center" shrinkToFit="1"/>
    </xf>
    <xf numFmtId="0" fontId="49" fillId="0" borderId="34" xfId="0" applyFont="1" applyBorder="1" applyAlignment="1">
      <alignment horizontal="center" vertical="center" wrapText="1" shrinkToFit="1"/>
    </xf>
    <xf numFmtId="4" fontId="45" fillId="0" borderId="13" xfId="0" applyNumberFormat="1" applyFont="1" applyBorder="1" applyAlignment="1">
      <alignment horizontal="center" vertical="center" wrapText="1" shrinkToFit="1"/>
    </xf>
    <xf numFmtId="4" fontId="45" fillId="0" borderId="18" xfId="0" applyNumberFormat="1" applyFont="1" applyBorder="1" applyAlignment="1">
      <alignment horizontal="center" vertical="center" wrapText="1" shrinkToFit="1"/>
    </xf>
    <xf numFmtId="4" fontId="49" fillId="0" borderId="35" xfId="0" applyNumberFormat="1" applyFont="1" applyBorder="1" applyAlignment="1">
      <alignment horizontal="center" wrapText="1" shrinkToFit="1"/>
    </xf>
    <xf numFmtId="4" fontId="45" fillId="0" borderId="13" xfId="0" applyNumberFormat="1" applyFont="1" applyBorder="1" applyAlignment="1">
      <alignment wrapText="1" shrinkToFit="1"/>
    </xf>
    <xf numFmtId="4" fontId="45" fillId="0" borderId="13" xfId="43" applyNumberFormat="1" applyFont="1" applyBorder="1" applyAlignment="1">
      <alignment horizontal="center" vertical="center" wrapText="1" shrinkToFit="1"/>
    </xf>
    <xf numFmtId="4" fontId="43" fillId="0" borderId="36" xfId="0" applyNumberFormat="1" applyFont="1" applyBorder="1" applyAlignment="1">
      <alignment wrapText="1" shrinkToFit="1"/>
    </xf>
    <xf numFmtId="0" fontId="47" fillId="25" borderId="0" xfId="0" applyFont="1" applyFill="1" applyBorder="1" applyAlignment="1">
      <alignment horizontal="center" wrapText="1" shrinkToFit="1"/>
    </xf>
    <xf numFmtId="0" fontId="48" fillId="25" borderId="0" xfId="0" applyFont="1" applyFill="1" applyBorder="1" applyAlignment="1">
      <alignment horizontal="center" wrapText="1" shrinkToFit="1"/>
    </xf>
    <xf numFmtId="0" fontId="45" fillId="25" borderId="0" xfId="0" applyFont="1" applyFill="1" applyBorder="1" applyAlignment="1">
      <alignment horizontal="center" wrapText="1" shrinkToFit="1"/>
    </xf>
    <xf numFmtId="0" fontId="45" fillId="25" borderId="0" xfId="0" applyFont="1" applyFill="1" applyBorder="1" applyAlignment="1">
      <alignment horizontal="center" vertical="center" shrinkToFit="1"/>
    </xf>
    <xf numFmtId="0" fontId="53" fillId="25" borderId="0" xfId="0" applyFont="1" applyFill="1" applyBorder="1" applyAlignment="1">
      <alignment horizontal="left" vertical="center" wrapText="1" shrinkToFit="1"/>
    </xf>
    <xf numFmtId="0" fontId="45" fillId="25" borderId="0" xfId="0" applyFont="1" applyFill="1" applyBorder="1" applyAlignment="1">
      <alignment horizontal="left" wrapText="1" shrinkToFit="1"/>
    </xf>
    <xf numFmtId="0" fontId="45" fillId="25" borderId="0" xfId="0" applyFont="1" applyFill="1" applyBorder="1" applyAlignment="1">
      <alignment horizontal="left" vertical="center" wrapText="1" shrinkToFit="1"/>
    </xf>
    <xf numFmtId="0" fontId="49" fillId="25" borderId="0" xfId="0" applyFont="1" applyFill="1" applyBorder="1" applyAlignment="1">
      <alignment horizontal="center" wrapText="1" shrinkToFit="1"/>
    </xf>
    <xf numFmtId="0" fontId="53" fillId="25" borderId="0" xfId="0" applyFont="1" applyFill="1" applyBorder="1" applyAlignment="1">
      <alignment horizontal="left" wrapText="1" shrinkToFit="1"/>
    </xf>
    <xf numFmtId="0" fontId="45" fillId="25" borderId="0" xfId="0" applyFont="1" applyFill="1" applyBorder="1" applyAlignment="1">
      <alignment wrapText="1" shrinkToFit="1"/>
    </xf>
    <xf numFmtId="0" fontId="45" fillId="25" borderId="0" xfId="0" applyFont="1" applyFill="1" applyBorder="1" applyAlignment="1">
      <alignment shrinkToFit="1"/>
    </xf>
    <xf numFmtId="0" fontId="43" fillId="25" borderId="0" xfId="0" applyFont="1" applyFill="1" applyBorder="1" applyAlignment="1">
      <alignment horizontal="center" wrapText="1" shrinkToFit="1"/>
    </xf>
    <xf numFmtId="0" fontId="42" fillId="25" borderId="0" xfId="0" applyFont="1" applyFill="1" applyBorder="1" applyAlignment="1">
      <alignment vertical="center" wrapText="1" shrinkToFit="1"/>
    </xf>
    <xf numFmtId="0" fontId="42" fillId="25" borderId="0" xfId="0" applyFont="1" applyFill="1" applyBorder="1" applyAlignment="1">
      <alignment wrapText="1" shrinkToFit="1"/>
    </xf>
    <xf numFmtId="0" fontId="54" fillId="25" borderId="0" xfId="0" applyFont="1" applyFill="1" applyBorder="1" applyAlignment="1">
      <alignment vertical="center" wrapText="1" shrinkToFit="1"/>
    </xf>
    <xf numFmtId="0" fontId="51" fillId="0" borderId="15" xfId="0" applyFont="1" applyBorder="1" applyAlignment="1">
      <alignment horizontal="left" vertical="center" wrapText="1" shrinkToFit="1"/>
    </xf>
    <xf numFmtId="0" fontId="48" fillId="0" borderId="15" xfId="0" applyFont="1" applyBorder="1" applyAlignment="1">
      <alignment horizontal="center" vertical="center" wrapText="1" shrinkToFit="1"/>
    </xf>
    <xf numFmtId="0" fontId="45" fillId="0" borderId="16" xfId="0" applyFont="1" applyBorder="1" applyAlignment="1">
      <alignment horizontal="left" vertical="center" wrapText="1" shrinkToFit="1"/>
    </xf>
    <xf numFmtId="4" fontId="45" fillId="0" borderId="16" xfId="0" applyNumberFormat="1" applyFont="1" applyBorder="1" applyAlignment="1">
      <alignment horizontal="right" vertical="center" wrapText="1" shrinkToFit="1"/>
    </xf>
    <xf numFmtId="0" fontId="49" fillId="0" borderId="16" xfId="0" applyFont="1" applyBorder="1" applyAlignment="1">
      <alignment horizontal="right" vertical="center" wrapText="1" shrinkToFit="1"/>
    </xf>
    <xf numFmtId="0" fontId="45" fillId="0" borderId="16" xfId="0" applyFont="1" applyBorder="1" applyAlignment="1">
      <alignment horizontal="left" wrapText="1" shrinkToFit="1"/>
    </xf>
    <xf numFmtId="4" fontId="45" fillId="0" borderId="16" xfId="0" applyNumberFormat="1" applyFont="1" applyBorder="1" applyAlignment="1">
      <alignment horizontal="right" vertical="center" shrinkToFit="1"/>
    </xf>
    <xf numFmtId="43" fontId="45" fillId="0" borderId="16" xfId="43" applyFont="1" applyBorder="1" applyAlignment="1">
      <alignment horizontal="right" vertical="center" shrinkToFit="1"/>
    </xf>
    <xf numFmtId="43" fontId="24" fillId="0" borderId="16" xfId="43" applyFont="1" applyBorder="1" applyAlignment="1">
      <alignment horizontal="right" vertical="center" shrinkToFit="1"/>
    </xf>
    <xf numFmtId="0" fontId="45" fillId="0" borderId="17" xfId="0" applyFont="1" applyBorder="1" applyAlignment="1">
      <alignment wrapText="1" shrinkToFit="1"/>
    </xf>
    <xf numFmtId="4" fontId="45" fillId="0" borderId="17" xfId="0" applyNumberFormat="1" applyFont="1" applyBorder="1" applyAlignment="1">
      <alignment horizontal="right" vertical="center" wrapText="1" shrinkToFit="1"/>
    </xf>
    <xf numFmtId="4" fontId="45" fillId="0" borderId="17" xfId="0" applyNumberFormat="1" applyFont="1" applyBorder="1" applyAlignment="1">
      <alignment horizontal="right" vertical="center" shrinkToFit="1"/>
    </xf>
    <xf numFmtId="0" fontId="49" fillId="0" borderId="20" xfId="0" applyFont="1" applyBorder="1" applyAlignment="1">
      <alignment horizontal="center" wrapText="1" shrinkToFit="1"/>
    </xf>
    <xf numFmtId="0" fontId="53" fillId="0" borderId="37" xfId="0" applyFont="1" applyBorder="1" applyAlignment="1">
      <alignment horizontal="left" wrapText="1" shrinkToFit="1"/>
    </xf>
    <xf numFmtId="4" fontId="45" fillId="0" borderId="37" xfId="0" applyNumberFormat="1" applyFont="1" applyBorder="1" applyAlignment="1">
      <alignment horizontal="right" wrapText="1" shrinkToFit="1"/>
    </xf>
    <xf numFmtId="0" fontId="45" fillId="0" borderId="16" xfId="0" applyFont="1" applyBorder="1" applyAlignment="1">
      <alignment wrapText="1" shrinkToFit="1"/>
    </xf>
    <xf numFmtId="4" fontId="45" fillId="0" borderId="16" xfId="43" applyNumberFormat="1" applyFont="1" applyBorder="1" applyAlignment="1">
      <alignment horizontal="right" vertical="center" wrapText="1" shrinkToFit="1"/>
    </xf>
    <xf numFmtId="0" fontId="45" fillId="0" borderId="16" xfId="0" applyFont="1" applyBorder="1" applyAlignment="1">
      <alignment horizontal="right" wrapText="1" shrinkToFit="1"/>
    </xf>
    <xf numFmtId="0" fontId="45" fillId="0" borderId="16" xfId="0" applyFont="1" applyBorder="1" applyAlignment="1">
      <alignment shrinkToFit="1"/>
    </xf>
    <xf numFmtId="4" fontId="45" fillId="0" borderId="24" xfId="0" applyNumberFormat="1" applyFont="1" applyBorder="1" applyAlignment="1">
      <alignment horizontal="right" vertical="center" wrapText="1" shrinkToFit="1"/>
    </xf>
    <xf numFmtId="4" fontId="45" fillId="0" borderId="24" xfId="0" applyNumberFormat="1" applyFont="1" applyBorder="1" applyAlignment="1">
      <alignment vertical="center" wrapText="1" shrinkToFit="1"/>
    </xf>
    <xf numFmtId="4" fontId="49" fillId="0" borderId="22" xfId="0" applyNumberFormat="1" applyFont="1" applyBorder="1" applyAlignment="1">
      <alignment horizontal="right" wrapText="1" shrinkToFit="1"/>
    </xf>
    <xf numFmtId="0" fontId="48" fillId="0" borderId="10" xfId="0" applyFont="1" applyBorder="1" applyAlignment="1">
      <alignment horizontal="center" vertical="top" shrinkToFit="1"/>
    </xf>
    <xf numFmtId="0" fontId="49" fillId="0" borderId="10" xfId="0" applyFont="1" applyBorder="1" applyAlignment="1">
      <alignment horizontal="center" vertical="top" wrapText="1" shrinkToFit="1"/>
    </xf>
    <xf numFmtId="0" fontId="48" fillId="0" borderId="10" xfId="0" applyFont="1" applyBorder="1" applyAlignment="1">
      <alignment horizontal="center" vertical="top" wrapText="1" shrinkToFit="1"/>
    </xf>
    <xf numFmtId="0" fontId="43" fillId="0" borderId="10" xfId="0" applyFont="1" applyBorder="1" applyAlignment="1">
      <alignment horizontal="center" vertical="top" wrapText="1" shrinkToFit="1"/>
    </xf>
    <xf numFmtId="0" fontId="50" fillId="0" borderId="0" xfId="0" applyFont="1" applyBorder="1" applyAlignment="1">
      <alignment vertical="top"/>
    </xf>
    <xf numFmtId="0" fontId="48" fillId="0" borderId="0" xfId="0" applyFont="1" applyAlignment="1">
      <alignment horizontal="center" vertical="top" wrapText="1" shrinkToFit="1"/>
    </xf>
    <xf numFmtId="4" fontId="28" fillId="0" borderId="38" xfId="0" applyNumberFormat="1" applyFont="1" applyBorder="1"/>
    <xf numFmtId="43" fontId="28" fillId="0" borderId="38" xfId="43" applyFont="1" applyBorder="1"/>
    <xf numFmtId="43" fontId="28" fillId="0" borderId="39" xfId="43" applyFont="1" applyBorder="1"/>
    <xf numFmtId="43" fontId="28" fillId="24" borderId="19" xfId="44" applyFont="1" applyFill="1" applyBorder="1"/>
    <xf numFmtId="43" fontId="43" fillId="0" borderId="19" xfId="43" applyFont="1" applyBorder="1" applyAlignment="1">
      <alignment horizontal="center"/>
    </xf>
    <xf numFmtId="43" fontId="43" fillId="0" borderId="19" xfId="43" applyFont="1" applyBorder="1"/>
    <xf numFmtId="0" fontId="29" fillId="0" borderId="16" xfId="0" applyNumberFormat="1" applyFont="1" applyBorder="1" applyAlignment="1">
      <alignment horizontal="left" vertical="center"/>
    </xf>
    <xf numFmtId="43" fontId="28" fillId="0" borderId="19" xfId="0" applyNumberFormat="1" applyFont="1" applyBorder="1"/>
    <xf numFmtId="0" fontId="29" fillId="0" borderId="24" xfId="0" applyNumberFormat="1" applyFont="1" applyFill="1" applyBorder="1" applyAlignment="1">
      <alignment horizontal="left" vertical="center"/>
    </xf>
    <xf numFmtId="0" fontId="23" fillId="0" borderId="16" xfId="0" applyFont="1" applyBorder="1" applyAlignment="1">
      <alignment horizontal="left" vertical="top" wrapText="1"/>
    </xf>
    <xf numFmtId="0" fontId="23" fillId="0" borderId="16" xfId="0" applyNumberFormat="1" applyFont="1" applyBorder="1" applyAlignment="1">
      <alignment horizontal="left" vertical="top"/>
    </xf>
    <xf numFmtId="0" fontId="23" fillId="0" borderId="16" xfId="0" applyNumberFormat="1" applyFont="1" applyBorder="1" applyAlignment="1">
      <alignment vertical="top" wrapText="1"/>
    </xf>
    <xf numFmtId="0" fontId="23" fillId="0" borderId="25" xfId="43" applyNumberFormat="1" applyFont="1" applyBorder="1" applyAlignment="1">
      <alignment horizontal="left" vertical="top" wrapText="1"/>
    </xf>
    <xf numFmtId="0" fontId="23" fillId="0" borderId="16" xfId="0" applyFont="1" applyFill="1" applyBorder="1" applyAlignment="1">
      <alignment horizontal="left" vertical="top" wrapText="1"/>
    </xf>
    <xf numFmtId="0" fontId="23" fillId="0" borderId="24" xfId="0" applyFont="1" applyBorder="1" applyAlignment="1">
      <alignment vertical="top" wrapText="1"/>
    </xf>
    <xf numFmtId="187" fontId="23" fillId="0" borderId="16" xfId="43" applyNumberFormat="1" applyFont="1" applyFill="1" applyBorder="1" applyAlignment="1">
      <alignment horizontal="center" vertical="top"/>
    </xf>
    <xf numFmtId="0" fontId="29" fillId="0" borderId="0" xfId="54" applyFont="1"/>
    <xf numFmtId="0" fontId="36" fillId="0" borderId="0" xfId="54" applyFont="1" applyAlignment="1"/>
    <xf numFmtId="0" fontId="36" fillId="0" borderId="0" xfId="54" applyFont="1"/>
    <xf numFmtId="187" fontId="29" fillId="0" borderId="32" xfId="49" applyNumberFormat="1" applyFont="1" applyBorder="1"/>
    <xf numFmtId="187" fontId="29" fillId="0" borderId="39" xfId="49" applyNumberFormat="1" applyFont="1" applyBorder="1"/>
    <xf numFmtId="187" fontId="29" fillId="0" borderId="34" xfId="49" applyNumberFormat="1" applyFont="1" applyBorder="1"/>
    <xf numFmtId="187" fontId="29" fillId="0" borderId="28" xfId="49" applyNumberFormat="1" applyFont="1" applyBorder="1"/>
    <xf numFmtId="187" fontId="29" fillId="0" borderId="0" xfId="49" applyNumberFormat="1" applyFont="1" applyBorder="1"/>
    <xf numFmtId="187" fontId="29" fillId="0" borderId="13" xfId="49" applyNumberFormat="1" applyFont="1" applyBorder="1"/>
    <xf numFmtId="0" fontId="37" fillId="0" borderId="0" xfId="54" applyFont="1"/>
    <xf numFmtId="187" fontId="29" fillId="0" borderId="29" xfId="49" applyNumberFormat="1" applyFont="1" applyBorder="1"/>
    <xf numFmtId="0" fontId="38" fillId="0" borderId="0" xfId="54" applyFont="1"/>
    <xf numFmtId="187" fontId="29" fillId="0" borderId="27" xfId="49" applyNumberFormat="1" applyFont="1" applyBorder="1"/>
    <xf numFmtId="187" fontId="36" fillId="0" borderId="35" xfId="49" applyNumberFormat="1" applyFont="1" applyBorder="1"/>
    <xf numFmtId="187" fontId="29" fillId="0" borderId="18" xfId="49" applyNumberFormat="1" applyFont="1" applyBorder="1"/>
    <xf numFmtId="187" fontId="29" fillId="0" borderId="0" xfId="49" applyNumberFormat="1" applyFont="1"/>
    <xf numFmtId="187" fontId="39" fillId="0" borderId="0" xfId="49" quotePrefix="1" applyNumberFormat="1" applyFont="1" applyAlignment="1">
      <alignment horizontal="center"/>
    </xf>
    <xf numFmtId="0" fontId="58" fillId="0" borderId="0" xfId="54" applyFont="1"/>
    <xf numFmtId="187" fontId="36" fillId="0" borderId="38" xfId="49" applyNumberFormat="1" applyFont="1" applyBorder="1"/>
    <xf numFmtId="0" fontId="29" fillId="0" borderId="0" xfId="0" applyFont="1"/>
    <xf numFmtId="0" fontId="29" fillId="0" borderId="0" xfId="55" applyFont="1"/>
    <xf numFmtId="0" fontId="44" fillId="0" borderId="15" xfId="0" applyFont="1" applyBorder="1" applyAlignment="1">
      <alignment horizontal="left" vertical="top"/>
    </xf>
    <xf numFmtId="0" fontId="44" fillId="0" borderId="15" xfId="0" applyFont="1" applyBorder="1" applyAlignment="1">
      <alignment horizontal="left" vertical="center"/>
    </xf>
    <xf numFmtId="43" fontId="44" fillId="0" borderId="15" xfId="52" applyFont="1" applyBorder="1" applyAlignment="1">
      <alignment horizontal="center"/>
    </xf>
    <xf numFmtId="43" fontId="44" fillId="0" borderId="15" xfId="52" applyFont="1" applyBorder="1" applyAlignment="1">
      <alignment horizontal="center" vertical="center"/>
    </xf>
    <xf numFmtId="43" fontId="44" fillId="0" borderId="15" xfId="52" applyFont="1" applyBorder="1" applyAlignment="1">
      <alignment horizontal="center" vertical="top"/>
    </xf>
    <xf numFmtId="43" fontId="44" fillId="0" borderId="15" xfId="0" applyNumberFormat="1" applyFont="1" applyBorder="1" applyAlignment="1">
      <alignment horizontal="center" vertical="top"/>
    </xf>
    <xf numFmtId="0" fontId="44" fillId="0" borderId="16" xfId="0" applyFont="1" applyBorder="1" applyAlignment="1">
      <alignment horizontal="left" vertical="top"/>
    </xf>
    <xf numFmtId="0" fontId="29" fillId="0" borderId="16" xfId="0" applyFont="1" applyBorder="1" applyAlignment="1">
      <alignment vertical="top" wrapText="1"/>
    </xf>
    <xf numFmtId="43" fontId="29" fillId="0" borderId="16" xfId="46" applyFont="1" applyBorder="1" applyAlignment="1">
      <alignment horizontal="center" vertical="top"/>
    </xf>
    <xf numFmtId="43" fontId="29" fillId="0" borderId="16" xfId="46" applyFont="1" applyBorder="1" applyAlignment="1">
      <alignment vertical="top"/>
    </xf>
    <xf numFmtId="43" fontId="44" fillId="0" borderId="16" xfId="52" applyFont="1" applyBorder="1" applyAlignment="1">
      <alignment horizontal="center" vertical="top"/>
    </xf>
    <xf numFmtId="43" fontId="44" fillId="0" borderId="16" xfId="0" applyNumberFormat="1" applyFont="1" applyBorder="1" applyAlignment="1">
      <alignment horizontal="center" vertical="top"/>
    </xf>
    <xf numFmtId="0" fontId="44" fillId="0" borderId="17" xfId="0" applyFont="1" applyBorder="1" applyAlignment="1">
      <alignment horizontal="left" vertical="top"/>
    </xf>
    <xf numFmtId="0" fontId="29" fillId="0" borderId="17" xfId="0" applyFont="1" applyBorder="1" applyAlignment="1">
      <alignment vertical="top" wrapText="1"/>
    </xf>
    <xf numFmtId="43" fontId="29" fillId="0" borderId="17" xfId="46" applyFont="1" applyBorder="1" applyAlignment="1">
      <alignment horizontal="center" vertical="top"/>
    </xf>
    <xf numFmtId="43" fontId="29" fillId="0" borderId="17" xfId="46" applyFont="1" applyBorder="1" applyAlignment="1">
      <alignment vertical="top"/>
    </xf>
    <xf numFmtId="43" fontId="44" fillId="0" borderId="17" xfId="52" applyFont="1" applyBorder="1" applyAlignment="1">
      <alignment horizontal="center" vertical="top"/>
    </xf>
    <xf numFmtId="43" fontId="44" fillId="0" borderId="17" xfId="0" applyNumberFormat="1" applyFont="1" applyBorder="1" applyAlignment="1">
      <alignment horizontal="center" vertical="top"/>
    </xf>
    <xf numFmtId="43" fontId="46" fillId="0" borderId="19" xfId="52" applyFont="1" applyBorder="1"/>
    <xf numFmtId="43" fontId="46" fillId="0" borderId="35" xfId="52" applyFont="1" applyBorder="1"/>
    <xf numFmtId="0" fontId="46" fillId="0" borderId="0" xfId="0" applyFont="1" applyAlignment="1"/>
    <xf numFmtId="0" fontId="36" fillId="0" borderId="0" xfId="0" applyFont="1" applyAlignment="1">
      <alignment horizontal="center"/>
    </xf>
    <xf numFmtId="43" fontId="29" fillId="0" borderId="0" xfId="43" applyFont="1"/>
    <xf numFmtId="43" fontId="35" fillId="0" borderId="0" xfId="43" applyFont="1"/>
    <xf numFmtId="43" fontId="29" fillId="0" borderId="0" xfId="43" applyFont="1" applyFill="1" applyBorder="1" applyAlignment="1">
      <alignment vertical="center"/>
    </xf>
    <xf numFmtId="43" fontId="44" fillId="0" borderId="0" xfId="43" applyFont="1"/>
    <xf numFmtId="0" fontId="29" fillId="0" borderId="0" xfId="0" applyFont="1" applyBorder="1"/>
    <xf numFmtId="4" fontId="29" fillId="0" borderId="0" xfId="46" applyNumberFormat="1" applyFont="1" applyFill="1" applyBorder="1" applyAlignment="1">
      <alignment vertical="center"/>
    </xf>
    <xf numFmtId="43" fontId="29" fillId="0" borderId="27" xfId="43" applyFont="1" applyFill="1" applyBorder="1" applyAlignment="1">
      <alignment vertical="center"/>
    </xf>
    <xf numFmtId="43" fontId="36" fillId="0" borderId="38" xfId="43" applyFont="1" applyBorder="1"/>
    <xf numFmtId="0" fontId="46" fillId="0" borderId="0" xfId="0" applyFont="1" applyBorder="1"/>
    <xf numFmtId="0" fontId="44" fillId="0" borderId="0" xfId="0" applyFont="1" applyBorder="1"/>
    <xf numFmtId="4" fontId="45" fillId="25" borderId="0" xfId="0" applyNumberFormat="1" applyFont="1" applyFill="1" applyBorder="1" applyAlignment="1">
      <alignment horizontal="left" vertical="center" wrapText="1" shrinkToFit="1"/>
    </xf>
    <xf numFmtId="0" fontId="43" fillId="0" borderId="0" xfId="0" applyFont="1" applyAlignment="1">
      <alignment horizontal="center"/>
    </xf>
    <xf numFmtId="0" fontId="44" fillId="0" borderId="0" xfId="0" applyFont="1" applyAlignment="1">
      <alignment horizontal="left"/>
    </xf>
    <xf numFmtId="0" fontId="42" fillId="0" borderId="0" xfId="0" applyFont="1" applyAlignment="1">
      <alignment horizontal="left"/>
    </xf>
    <xf numFmtId="0" fontId="28" fillId="0" borderId="0" xfId="53" applyFont="1" applyAlignment="1">
      <alignment horizontal="center" vertical="center"/>
    </xf>
    <xf numFmtId="0" fontId="28" fillId="0" borderId="0" xfId="53" applyFont="1" applyBorder="1" applyAlignment="1">
      <alignment horizontal="center" vertical="center"/>
    </xf>
    <xf numFmtId="0" fontId="31" fillId="0" borderId="32" xfId="53" applyFont="1" applyBorder="1" applyAlignment="1">
      <alignment horizontal="center" vertical="center"/>
    </xf>
    <xf numFmtId="0" fontId="31" fillId="0" borderId="29" xfId="53" applyFont="1" applyBorder="1" applyAlignment="1">
      <alignment horizontal="center" vertical="center"/>
    </xf>
    <xf numFmtId="0" fontId="28" fillId="0" borderId="10" xfId="53" applyFont="1" applyBorder="1" applyAlignment="1">
      <alignment horizontal="center" vertical="center"/>
    </xf>
    <xf numFmtId="0" fontId="28" fillId="0" borderId="32" xfId="53" applyFont="1" applyBorder="1" applyAlignment="1">
      <alignment horizontal="center" vertical="center"/>
    </xf>
    <xf numFmtId="0" fontId="28" fillId="0" borderId="34" xfId="53" applyFont="1" applyBorder="1" applyAlignment="1">
      <alignment horizontal="center" vertical="center"/>
    </xf>
    <xf numFmtId="0" fontId="28" fillId="0" borderId="40" xfId="53" applyFont="1" applyBorder="1" applyAlignment="1">
      <alignment horizontal="center" vertical="center"/>
    </xf>
    <xf numFmtId="0" fontId="28" fillId="0" borderId="26" xfId="53" applyFont="1" applyBorder="1" applyAlignment="1">
      <alignment horizontal="center" vertical="center"/>
    </xf>
    <xf numFmtId="0" fontId="42" fillId="0" borderId="10" xfId="0" applyFont="1" applyBorder="1" applyAlignment="1">
      <alignment horizontal="center"/>
    </xf>
    <xf numFmtId="0" fontId="43" fillId="0" borderId="10" xfId="0" applyFont="1" applyBorder="1" applyAlignment="1">
      <alignment horizontal="center" vertical="center"/>
    </xf>
    <xf numFmtId="0" fontId="43" fillId="0" borderId="10" xfId="0" applyFont="1" applyBorder="1" applyAlignment="1">
      <alignment horizontal="center"/>
    </xf>
    <xf numFmtId="0" fontId="28" fillId="0" borderId="0" xfId="0" applyFont="1" applyAlignment="1">
      <alignment horizontal="center"/>
    </xf>
    <xf numFmtId="0" fontId="29" fillId="0" borderId="0" xfId="0" applyFont="1" applyBorder="1" applyAlignment="1">
      <alignment horizontal="left" wrapText="1"/>
    </xf>
    <xf numFmtId="43" fontId="46" fillId="0" borderId="0" xfId="43" applyFont="1" applyBorder="1" applyAlignment="1">
      <alignment horizontal="center"/>
    </xf>
    <xf numFmtId="0" fontId="46" fillId="0" borderId="0" xfId="0" applyFont="1" applyAlignment="1">
      <alignment horizontal="center"/>
    </xf>
    <xf numFmtId="0" fontId="36" fillId="0" borderId="10" xfId="54" applyFont="1" applyBorder="1" applyAlignment="1">
      <alignment horizontal="center"/>
    </xf>
    <xf numFmtId="0" fontId="36" fillId="0" borderId="0" xfId="54" applyFont="1" applyAlignment="1">
      <alignment horizontal="center"/>
    </xf>
    <xf numFmtId="43" fontId="46" fillId="0" borderId="11" xfId="52" applyFont="1" applyBorder="1" applyAlignment="1">
      <alignment horizontal="center" vertical="center"/>
    </xf>
    <xf numFmtId="43" fontId="46" fillId="0" borderId="14" xfId="52" applyFont="1" applyBorder="1" applyAlignment="1">
      <alignment horizontal="center" vertical="center"/>
    </xf>
    <xf numFmtId="0" fontId="46" fillId="0" borderId="11" xfId="0" applyFont="1" applyBorder="1" applyAlignment="1">
      <alignment horizontal="center" vertical="center"/>
    </xf>
    <xf numFmtId="0" fontId="46" fillId="0" borderId="14" xfId="0" applyFont="1" applyBorder="1" applyAlignment="1">
      <alignment horizontal="center" vertical="center"/>
    </xf>
    <xf numFmtId="0" fontId="46" fillId="0" borderId="10" xfId="0" applyFont="1" applyBorder="1" applyAlignment="1">
      <alignment horizontal="center"/>
    </xf>
    <xf numFmtId="0" fontId="46" fillId="0" borderId="29" xfId="0" applyFont="1" applyBorder="1" applyAlignment="1">
      <alignment horizontal="center"/>
    </xf>
    <xf numFmtId="0" fontId="46" fillId="0" borderId="27" xfId="0" applyFont="1" applyBorder="1" applyAlignment="1">
      <alignment horizontal="center"/>
    </xf>
    <xf numFmtId="0" fontId="46" fillId="0" borderId="18" xfId="0" applyFont="1" applyBorder="1" applyAlignment="1">
      <alignment horizontal="center"/>
    </xf>
    <xf numFmtId="0" fontId="54" fillId="0" borderId="0" xfId="0" applyFont="1" applyAlignment="1">
      <alignment horizontal="center" vertical="center" wrapText="1" shrinkToFit="1"/>
    </xf>
    <xf numFmtId="0" fontId="42" fillId="0" borderId="0" xfId="0" applyFont="1" applyAlignment="1">
      <alignment horizontal="center" vertical="center" wrapText="1" shrinkToFit="1"/>
    </xf>
    <xf numFmtId="0" fontId="48" fillId="0" borderId="0" xfId="0" applyFont="1" applyAlignment="1">
      <alignment horizontal="center" wrapText="1" shrinkToFit="1"/>
    </xf>
    <xf numFmtId="0" fontId="42" fillId="0" borderId="0" xfId="0" applyFont="1" applyAlignment="1">
      <alignment horizontal="center" wrapText="1" shrinkToFit="1"/>
    </xf>
    <xf numFmtId="0" fontId="23" fillId="0" borderId="0" xfId="0" quotePrefix="1" applyFont="1" applyAlignment="1">
      <alignment horizontal="left" wrapText="1"/>
    </xf>
  </cellXfs>
  <cellStyles count="58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xplanatory Text" xfId="28"/>
    <cellStyle name="Good" xfId="29"/>
    <cellStyle name="Heading 1" xfId="30"/>
    <cellStyle name="Heading 2" xfId="31"/>
    <cellStyle name="Heading 3" xfId="32"/>
    <cellStyle name="Heading 4" xfId="33"/>
    <cellStyle name="Input" xfId="34"/>
    <cellStyle name="Linked Cell" xfId="35"/>
    <cellStyle name="Neutral" xfId="36"/>
    <cellStyle name="Normal 3" xfId="37"/>
    <cellStyle name="Note" xfId="38"/>
    <cellStyle name="Output" xfId="39"/>
    <cellStyle name="Title" xfId="40"/>
    <cellStyle name="Total" xfId="41"/>
    <cellStyle name="Warning Text" xfId="42"/>
    <cellStyle name="เครื่องหมายจุลภาค" xfId="43" builtinId="3"/>
    <cellStyle name="เครื่องหมายจุลภาค 2" xfId="44"/>
    <cellStyle name="เครื่องหมายจุลภาค 2 2" xfId="45"/>
    <cellStyle name="เครื่องหมายจุลภาค 3" xfId="46"/>
    <cellStyle name="เครื่องหมายจุลภาค 4" xfId="47"/>
    <cellStyle name="เครื่องหมายจุลภาค 5" xfId="48"/>
    <cellStyle name="เครื่องหมายจุลภาค 6" xfId="49"/>
    <cellStyle name="เครื่องหมายจุลภาค 7" xfId="50"/>
    <cellStyle name="เครื่องหมายจุลภาค 8" xfId="51"/>
    <cellStyle name="เครื่องหมายจุลภาค 9" xfId="52"/>
    <cellStyle name="ปกติ" xfId="0" builtinId="0"/>
    <cellStyle name="ปกติ 2" xfId="53"/>
    <cellStyle name="ปกติ 2 2" xfId="54"/>
    <cellStyle name="ปกติ 3" xfId="55"/>
    <cellStyle name="ปกติ 4" xfId="56"/>
    <cellStyle name="ปกติ 5" xfId="5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4"/>
  <sheetViews>
    <sheetView view="pageBreakPreview" topLeftCell="A13" zoomScaleSheetLayoutView="100" workbookViewId="0">
      <selection activeCell="G12" sqref="G12"/>
    </sheetView>
  </sheetViews>
  <sheetFormatPr defaultRowHeight="21"/>
  <cols>
    <col min="1" max="1" width="7.375" style="2" customWidth="1"/>
    <col min="2" max="2" width="5.875" style="2" customWidth="1"/>
    <col min="3" max="3" width="11.875" style="2" customWidth="1"/>
    <col min="4" max="4" width="17.75" style="2" customWidth="1"/>
    <col min="5" max="5" width="10.875" style="15" customWidth="1"/>
    <col min="6" max="6" width="4" style="2" customWidth="1"/>
    <col min="7" max="7" width="15.5" style="189" customWidth="1"/>
    <col min="8" max="8" width="14.75" style="189" customWidth="1"/>
    <col min="9" max="16384" width="9" style="2"/>
  </cols>
  <sheetData>
    <row r="1" spans="1:8">
      <c r="A1" s="373" t="s">
        <v>416</v>
      </c>
      <c r="B1" s="373"/>
      <c r="C1" s="373"/>
      <c r="D1" s="373"/>
      <c r="E1" s="373"/>
      <c r="F1" s="373"/>
      <c r="G1" s="373"/>
      <c r="H1" s="373"/>
    </row>
    <row r="2" spans="1:8">
      <c r="A2" s="373" t="s">
        <v>9</v>
      </c>
      <c r="B2" s="373"/>
      <c r="C2" s="373"/>
      <c r="D2" s="373"/>
      <c r="E2" s="373"/>
      <c r="F2" s="373"/>
      <c r="G2" s="373"/>
      <c r="H2" s="373"/>
    </row>
    <row r="3" spans="1:8">
      <c r="A3" s="373" t="s">
        <v>253</v>
      </c>
      <c r="B3" s="373"/>
      <c r="C3" s="373"/>
      <c r="D3" s="373"/>
      <c r="E3" s="373"/>
      <c r="F3" s="373"/>
      <c r="G3" s="373"/>
      <c r="H3" s="373"/>
    </row>
    <row r="4" spans="1:8" ht="7.5" customHeight="1">
      <c r="A4" s="184"/>
      <c r="B4" s="184"/>
      <c r="C4" s="184"/>
      <c r="D4" s="184"/>
      <c r="E4" s="184"/>
      <c r="F4" s="184"/>
      <c r="G4" s="184"/>
      <c r="H4" s="184"/>
    </row>
    <row r="5" spans="1:8">
      <c r="E5" s="15" t="s">
        <v>6</v>
      </c>
      <c r="G5" s="189" t="s">
        <v>307</v>
      </c>
      <c r="H5" s="189" t="s">
        <v>319</v>
      </c>
    </row>
    <row r="6" spans="1:8" ht="23.25">
      <c r="A6" s="13" t="s">
        <v>10</v>
      </c>
      <c r="E6" s="15">
        <v>2</v>
      </c>
      <c r="G6" s="201">
        <f>หมายเหตุ2!B37</f>
        <v>33052302.530000001</v>
      </c>
      <c r="H6" s="201">
        <f>หมายเหตุ2!C37</f>
        <v>32062501.73</v>
      </c>
    </row>
    <row r="7" spans="1:8">
      <c r="A7" s="13" t="s">
        <v>11</v>
      </c>
    </row>
    <row r="8" spans="1:8">
      <c r="B8" s="13" t="s">
        <v>12</v>
      </c>
    </row>
    <row r="9" spans="1:8">
      <c r="C9" s="2" t="s">
        <v>13</v>
      </c>
      <c r="E9" s="15">
        <v>3</v>
      </c>
      <c r="G9" s="189">
        <f>'หมายเหตุ3-4'!H12</f>
        <v>26898479.640000001</v>
      </c>
      <c r="H9" s="189">
        <f>'หมายเหตุ3-4'!I12</f>
        <v>23727271.810000002</v>
      </c>
    </row>
    <row r="10" spans="1:8">
      <c r="C10" s="2" t="s">
        <v>210</v>
      </c>
      <c r="E10" s="15">
        <v>4</v>
      </c>
      <c r="G10" s="189">
        <f>'หมายเหตุ3-4'!H19</f>
        <v>0</v>
      </c>
      <c r="H10" s="189">
        <f>'หมายเหตุ3-4'!I19</f>
        <v>72700</v>
      </c>
    </row>
    <row r="11" spans="1:8">
      <c r="C11" s="2" t="s">
        <v>76</v>
      </c>
      <c r="E11" s="15">
        <v>5</v>
      </c>
      <c r="G11" s="189">
        <f>ลูกหนี้ภาษี5!E16</f>
        <v>8817.2000000000007</v>
      </c>
      <c r="H11" s="189">
        <f>ลูกหนี้ภาษี5!H16</f>
        <v>12475.68</v>
      </c>
    </row>
    <row r="12" spans="1:8" ht="23.25">
      <c r="C12" s="2" t="s">
        <v>121</v>
      </c>
      <c r="E12" s="15">
        <v>6</v>
      </c>
      <c r="G12" s="200">
        <f>หมายเหตุ6!C29</f>
        <v>1310791.5</v>
      </c>
      <c r="H12" s="200">
        <f>หมายเหตุ6!C63</f>
        <v>1496004</v>
      </c>
    </row>
    <row r="13" spans="1:8" ht="23.25">
      <c r="C13" s="13" t="s">
        <v>14</v>
      </c>
      <c r="G13" s="200">
        <f>SUM(G9:G12)</f>
        <v>28218088.34</v>
      </c>
      <c r="H13" s="200">
        <f>SUM(H9:H12)</f>
        <v>25308451.490000002</v>
      </c>
    </row>
    <row r="14" spans="1:8" ht="23.25">
      <c r="B14" s="13" t="s">
        <v>15</v>
      </c>
      <c r="G14" s="202">
        <f>G13</f>
        <v>28218088.34</v>
      </c>
      <c r="H14" s="202">
        <f>H13</f>
        <v>25308451.490000002</v>
      </c>
    </row>
    <row r="15" spans="1:8" ht="15.75" customHeight="1"/>
    <row r="16" spans="1:8" ht="23.25">
      <c r="A16" s="13" t="s">
        <v>16</v>
      </c>
      <c r="E16" s="15">
        <v>2</v>
      </c>
      <c r="G16" s="201">
        <f>หมายเหตุ2!B37</f>
        <v>33052302.530000001</v>
      </c>
      <c r="H16" s="201">
        <f>หมายเหตุ2!C37</f>
        <v>32062501.73</v>
      </c>
    </row>
    <row r="17" spans="1:8">
      <c r="A17" s="13" t="s">
        <v>17</v>
      </c>
    </row>
    <row r="18" spans="1:8">
      <c r="B18" s="13" t="s">
        <v>18</v>
      </c>
    </row>
    <row r="19" spans="1:8">
      <c r="C19" s="2" t="s">
        <v>1</v>
      </c>
      <c r="E19" s="15">
        <v>7</v>
      </c>
      <c r="G19" s="189">
        <f>หมายเหตุ7!G25</f>
        <v>1474372.6400000001</v>
      </c>
      <c r="H19" s="189">
        <f>หมายเหตุ7!G61</f>
        <v>1621025.12</v>
      </c>
    </row>
    <row r="20" spans="1:8" ht="23.25">
      <c r="C20" s="2" t="s">
        <v>19</v>
      </c>
      <c r="E20" s="15">
        <v>8</v>
      </c>
      <c r="G20" s="200">
        <f>'หมายเหตุ 8'!E27</f>
        <v>2913994.56</v>
      </c>
      <c r="H20" s="200">
        <f>'หมายเหตุ 8'!F27</f>
        <v>3405836.7</v>
      </c>
    </row>
    <row r="21" spans="1:8" ht="23.25">
      <c r="C21" s="13" t="s">
        <v>20</v>
      </c>
      <c r="G21" s="200">
        <f>SUM(G19:G20)</f>
        <v>4388367.2</v>
      </c>
      <c r="H21" s="200">
        <f>SUM(H19:H20)</f>
        <v>5026861.82</v>
      </c>
    </row>
    <row r="22" spans="1:8" ht="23.25">
      <c r="B22" s="13" t="s">
        <v>21</v>
      </c>
      <c r="G22" s="200">
        <f>G21</f>
        <v>4388367.2</v>
      </c>
      <c r="H22" s="200">
        <f>H21</f>
        <v>5026861.82</v>
      </c>
    </row>
    <row r="23" spans="1:8">
      <c r="A23" s="13" t="s">
        <v>2</v>
      </c>
      <c r="B23" s="13"/>
    </row>
    <row r="24" spans="1:8">
      <c r="B24" s="2" t="s">
        <v>2</v>
      </c>
      <c r="E24" s="15">
        <v>9</v>
      </c>
      <c r="G24" s="189">
        <f>เงินสะสมเหตุ9!I16</f>
        <v>10139005.359999999</v>
      </c>
      <c r="H24" s="189">
        <v>7674882.6500000004</v>
      </c>
    </row>
    <row r="25" spans="1:8" ht="23.25">
      <c r="B25" s="2" t="s">
        <v>22</v>
      </c>
      <c r="G25" s="200">
        <v>13690715.779999999</v>
      </c>
      <c r="H25" s="200">
        <v>12606707.02</v>
      </c>
    </row>
    <row r="26" spans="1:8" ht="23.25">
      <c r="B26" s="13" t="s">
        <v>23</v>
      </c>
      <c r="G26" s="200">
        <f>SUM(G24:G25)</f>
        <v>23829721.140000001</v>
      </c>
      <c r="H26" s="200">
        <f>SUM(H24:H25)</f>
        <v>20281589.670000002</v>
      </c>
    </row>
    <row r="27" spans="1:8" ht="23.25">
      <c r="A27" s="13" t="s">
        <v>24</v>
      </c>
      <c r="B27" s="13"/>
      <c r="G27" s="202">
        <f>G21+G26</f>
        <v>28218088.34</v>
      </c>
      <c r="H27" s="202">
        <f>H22+H26</f>
        <v>25308451.490000002</v>
      </c>
    </row>
    <row r="28" spans="1:8" ht="14.25" customHeight="1">
      <c r="B28" s="13"/>
    </row>
    <row r="29" spans="1:8" ht="14.25" customHeight="1">
      <c r="B29" s="13"/>
    </row>
    <row r="30" spans="1:8" ht="14.25" customHeight="1">
      <c r="B30" s="13"/>
    </row>
    <row r="31" spans="1:8" ht="14.25" customHeight="1">
      <c r="B31" s="13"/>
    </row>
    <row r="32" spans="1:8" s="7" customFormat="1" ht="19.5">
      <c r="A32" s="374" t="s">
        <v>415</v>
      </c>
      <c r="B32" s="374"/>
      <c r="C32" s="374"/>
      <c r="D32" s="374"/>
      <c r="E32" s="374"/>
      <c r="F32" s="374"/>
      <c r="G32" s="374"/>
      <c r="H32" s="374"/>
    </row>
    <row r="33" spans="1:8" s="7" customFormat="1" ht="19.5">
      <c r="A33" s="374" t="s">
        <v>417</v>
      </c>
      <c r="B33" s="374"/>
      <c r="C33" s="374"/>
      <c r="D33" s="374"/>
      <c r="E33" s="374"/>
      <c r="F33" s="374"/>
      <c r="G33" s="374"/>
      <c r="H33" s="374"/>
    </row>
    <row r="34" spans="1:8" s="7" customFormat="1" ht="19.5">
      <c r="A34" s="374" t="s">
        <v>414</v>
      </c>
      <c r="B34" s="374"/>
      <c r="C34" s="374"/>
      <c r="D34" s="374"/>
      <c r="E34" s="374"/>
      <c r="F34" s="374"/>
      <c r="G34" s="374"/>
      <c r="H34" s="374"/>
    </row>
  </sheetData>
  <mergeCells count="6">
    <mergeCell ref="A1:H1"/>
    <mergeCell ref="A2:H2"/>
    <mergeCell ref="A3:H3"/>
    <mergeCell ref="A32:H32"/>
    <mergeCell ref="A33:H33"/>
    <mergeCell ref="A34:H34"/>
  </mergeCells>
  <pageMargins left="0.59055118110236227" right="0" top="0.55118110236220474" bottom="0" header="0.31496062992125984" footer="0.31496062992125984"/>
  <pageSetup paperSize="147" scale="95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00B050"/>
  </sheetPr>
  <dimension ref="A1:H29"/>
  <sheetViews>
    <sheetView view="pageBreakPreview" topLeftCell="A10" zoomScaleNormal="110" zoomScaleSheetLayoutView="100" workbookViewId="0">
      <selection activeCell="C12" sqref="C12"/>
    </sheetView>
  </sheetViews>
  <sheetFormatPr defaultRowHeight="19.5"/>
  <cols>
    <col min="1" max="1" width="15.25" style="7" customWidth="1"/>
    <col min="2" max="2" width="11.5" style="7" customWidth="1"/>
    <col min="3" max="3" width="42.125" style="7" customWidth="1"/>
    <col min="4" max="4" width="12.25" style="7" customWidth="1"/>
    <col min="5" max="5" width="12.875" style="7" customWidth="1"/>
    <col min="6" max="6" width="12.5" style="7" customWidth="1"/>
    <col min="7" max="7" width="9.625" style="7" customWidth="1"/>
    <col min="8" max="8" width="11.25" style="7" customWidth="1"/>
    <col min="9" max="16384" width="9" style="7"/>
  </cols>
  <sheetData>
    <row r="1" spans="1:8">
      <c r="A1" s="391" t="s">
        <v>127</v>
      </c>
      <c r="B1" s="391"/>
      <c r="C1" s="391"/>
      <c r="D1" s="391"/>
      <c r="E1" s="391"/>
      <c r="F1" s="391"/>
      <c r="G1" s="391"/>
      <c r="H1" s="391"/>
    </row>
    <row r="2" spans="1:8">
      <c r="A2" s="391" t="s">
        <v>79</v>
      </c>
      <c r="B2" s="391"/>
      <c r="C2" s="391"/>
      <c r="D2" s="391"/>
      <c r="E2" s="391"/>
      <c r="F2" s="391"/>
      <c r="G2" s="391"/>
      <c r="H2" s="391"/>
    </row>
    <row r="3" spans="1:8">
      <c r="A3" s="391" t="s">
        <v>212</v>
      </c>
      <c r="B3" s="391"/>
      <c r="C3" s="391"/>
      <c r="D3" s="391"/>
      <c r="E3" s="391"/>
      <c r="F3" s="391"/>
      <c r="G3" s="391"/>
      <c r="H3" s="391"/>
    </row>
    <row r="4" spans="1:8">
      <c r="A4" s="78" t="s">
        <v>382</v>
      </c>
      <c r="B4" s="78"/>
      <c r="C4" s="78"/>
      <c r="D4" s="79"/>
      <c r="E4" s="79"/>
      <c r="F4" s="79"/>
      <c r="G4" s="79"/>
      <c r="H4" s="78"/>
    </row>
    <row r="5" spans="1:8">
      <c r="A5" s="78" t="s">
        <v>307</v>
      </c>
      <c r="B5" s="78"/>
      <c r="C5" s="78"/>
      <c r="D5" s="79"/>
      <c r="E5" s="79"/>
      <c r="F5" s="79"/>
      <c r="G5" s="79"/>
      <c r="H5" s="78"/>
    </row>
    <row r="6" spans="1:8">
      <c r="A6" s="396" t="s">
        <v>31</v>
      </c>
      <c r="B6" s="396" t="s">
        <v>84</v>
      </c>
      <c r="C6" s="396" t="s">
        <v>32</v>
      </c>
      <c r="D6" s="80" t="s">
        <v>7</v>
      </c>
      <c r="E6" s="394" t="s">
        <v>80</v>
      </c>
      <c r="F6" s="394" t="s">
        <v>81</v>
      </c>
      <c r="G6" s="394" t="s">
        <v>82</v>
      </c>
      <c r="H6" s="396" t="s">
        <v>83</v>
      </c>
    </row>
    <row r="7" spans="1:8">
      <c r="A7" s="397"/>
      <c r="B7" s="397"/>
      <c r="C7" s="397"/>
      <c r="D7" s="81" t="s">
        <v>85</v>
      </c>
      <c r="E7" s="395"/>
      <c r="F7" s="395"/>
      <c r="G7" s="395"/>
      <c r="H7" s="397"/>
    </row>
    <row r="8" spans="1:8">
      <c r="A8" s="340" t="s">
        <v>72</v>
      </c>
      <c r="B8" s="341" t="s">
        <v>111</v>
      </c>
      <c r="C8" s="341" t="s">
        <v>284</v>
      </c>
      <c r="D8" s="342">
        <v>223000</v>
      </c>
      <c r="E8" s="343">
        <v>223000</v>
      </c>
      <c r="F8" s="343">
        <v>223000</v>
      </c>
      <c r="G8" s="344">
        <f>SUM(E8-F8)</f>
        <v>0</v>
      </c>
      <c r="H8" s="345">
        <f>SUM(D8-E8)</f>
        <v>0</v>
      </c>
    </row>
    <row r="9" spans="1:8" s="88" customFormat="1" ht="24" customHeight="1">
      <c r="A9" s="346" t="s">
        <v>72</v>
      </c>
      <c r="B9" s="346" t="s">
        <v>273</v>
      </c>
      <c r="C9" s="347" t="s">
        <v>274</v>
      </c>
      <c r="D9" s="348">
        <v>76000</v>
      </c>
      <c r="E9" s="348">
        <v>76000</v>
      </c>
      <c r="F9" s="349">
        <v>76000</v>
      </c>
      <c r="G9" s="350">
        <f t="shared" ref="G9:G18" si="0">SUM(E9-F9)</f>
        <v>0</v>
      </c>
      <c r="H9" s="351">
        <f t="shared" ref="H9:H18" si="1">SUM(D9-E9)</f>
        <v>0</v>
      </c>
    </row>
    <row r="10" spans="1:8" s="88" customFormat="1" ht="24" customHeight="1">
      <c r="A10" s="346" t="s">
        <v>72</v>
      </c>
      <c r="B10" s="346" t="s">
        <v>273</v>
      </c>
      <c r="C10" s="347" t="s">
        <v>275</v>
      </c>
      <c r="D10" s="348">
        <v>43650</v>
      </c>
      <c r="E10" s="348">
        <v>43650</v>
      </c>
      <c r="F10" s="349">
        <v>43650</v>
      </c>
      <c r="G10" s="350">
        <f t="shared" si="0"/>
        <v>0</v>
      </c>
      <c r="H10" s="351">
        <f t="shared" si="1"/>
        <v>0</v>
      </c>
    </row>
    <row r="11" spans="1:8" s="88" customFormat="1" ht="24" customHeight="1">
      <c r="A11" s="346" t="s">
        <v>72</v>
      </c>
      <c r="B11" s="346" t="s">
        <v>111</v>
      </c>
      <c r="C11" s="347" t="s">
        <v>276</v>
      </c>
      <c r="D11" s="348">
        <v>77000</v>
      </c>
      <c r="E11" s="348">
        <v>77000</v>
      </c>
      <c r="F11" s="349">
        <v>77000</v>
      </c>
      <c r="G11" s="350">
        <f t="shared" si="0"/>
        <v>0</v>
      </c>
      <c r="H11" s="351">
        <f t="shared" si="1"/>
        <v>0</v>
      </c>
    </row>
    <row r="12" spans="1:8" s="88" customFormat="1" ht="24" customHeight="1">
      <c r="A12" s="346" t="s">
        <v>72</v>
      </c>
      <c r="B12" s="346" t="s">
        <v>111</v>
      </c>
      <c r="C12" s="347" t="s">
        <v>277</v>
      </c>
      <c r="D12" s="348">
        <v>55000</v>
      </c>
      <c r="E12" s="348">
        <v>55000</v>
      </c>
      <c r="F12" s="349">
        <v>55000</v>
      </c>
      <c r="G12" s="350">
        <f t="shared" si="0"/>
        <v>0</v>
      </c>
      <c r="H12" s="351">
        <f t="shared" si="1"/>
        <v>0</v>
      </c>
    </row>
    <row r="13" spans="1:8" s="88" customFormat="1" ht="24" customHeight="1">
      <c r="A13" s="346" t="s">
        <v>72</v>
      </c>
      <c r="B13" s="346" t="s">
        <v>111</v>
      </c>
      <c r="C13" s="347" t="s">
        <v>278</v>
      </c>
      <c r="D13" s="348">
        <v>82000</v>
      </c>
      <c r="E13" s="348">
        <v>82000</v>
      </c>
      <c r="F13" s="349">
        <v>82000</v>
      </c>
      <c r="G13" s="350">
        <f t="shared" si="0"/>
        <v>0</v>
      </c>
      <c r="H13" s="351">
        <f t="shared" si="1"/>
        <v>0</v>
      </c>
    </row>
    <row r="14" spans="1:8" s="88" customFormat="1" ht="24" customHeight="1">
      <c r="A14" s="346" t="s">
        <v>72</v>
      </c>
      <c r="B14" s="346" t="s">
        <v>111</v>
      </c>
      <c r="C14" s="347" t="s">
        <v>279</v>
      </c>
      <c r="D14" s="348">
        <v>80000</v>
      </c>
      <c r="E14" s="348">
        <v>80000</v>
      </c>
      <c r="F14" s="349">
        <v>80000</v>
      </c>
      <c r="G14" s="350">
        <f t="shared" si="0"/>
        <v>0</v>
      </c>
      <c r="H14" s="351">
        <f t="shared" si="1"/>
        <v>0</v>
      </c>
    </row>
    <row r="15" spans="1:8" s="88" customFormat="1" ht="24" customHeight="1">
      <c r="A15" s="346" t="s">
        <v>72</v>
      </c>
      <c r="B15" s="346" t="s">
        <v>111</v>
      </c>
      <c r="C15" s="347" t="s">
        <v>280</v>
      </c>
      <c r="D15" s="348">
        <v>80000</v>
      </c>
      <c r="E15" s="348">
        <v>80000</v>
      </c>
      <c r="F15" s="349">
        <v>80000</v>
      </c>
      <c r="G15" s="350">
        <f t="shared" si="0"/>
        <v>0</v>
      </c>
      <c r="H15" s="351">
        <f t="shared" si="1"/>
        <v>0</v>
      </c>
    </row>
    <row r="16" spans="1:8" s="88" customFormat="1" ht="24" customHeight="1">
      <c r="A16" s="346" t="s">
        <v>72</v>
      </c>
      <c r="B16" s="346" t="s">
        <v>111</v>
      </c>
      <c r="C16" s="347" t="s">
        <v>281</v>
      </c>
      <c r="D16" s="348">
        <v>74500</v>
      </c>
      <c r="E16" s="348">
        <v>74500</v>
      </c>
      <c r="F16" s="349">
        <v>74500</v>
      </c>
      <c r="G16" s="350">
        <f t="shared" si="0"/>
        <v>0</v>
      </c>
      <c r="H16" s="351">
        <f t="shared" si="1"/>
        <v>0</v>
      </c>
    </row>
    <row r="17" spans="1:8" s="88" customFormat="1" ht="24" customHeight="1">
      <c r="A17" s="346" t="s">
        <v>72</v>
      </c>
      <c r="B17" s="346" t="s">
        <v>111</v>
      </c>
      <c r="C17" s="347" t="s">
        <v>282</v>
      </c>
      <c r="D17" s="348">
        <v>60000</v>
      </c>
      <c r="E17" s="348">
        <v>60000</v>
      </c>
      <c r="F17" s="349">
        <v>60000</v>
      </c>
      <c r="G17" s="350">
        <f t="shared" si="0"/>
        <v>0</v>
      </c>
      <c r="H17" s="351">
        <f t="shared" si="1"/>
        <v>0</v>
      </c>
    </row>
    <row r="18" spans="1:8" s="88" customFormat="1" ht="24" customHeight="1">
      <c r="A18" s="352" t="s">
        <v>72</v>
      </c>
      <c r="B18" s="352" t="s">
        <v>111</v>
      </c>
      <c r="C18" s="353" t="s">
        <v>283</v>
      </c>
      <c r="D18" s="354">
        <v>77000</v>
      </c>
      <c r="E18" s="354">
        <v>77000</v>
      </c>
      <c r="F18" s="355">
        <v>77000</v>
      </c>
      <c r="G18" s="356">
        <f t="shared" si="0"/>
        <v>0</v>
      </c>
      <c r="H18" s="357">
        <f t="shared" si="1"/>
        <v>0</v>
      </c>
    </row>
    <row r="19" spans="1:8" ht="20.25" thickBot="1">
      <c r="A19" s="398" t="s">
        <v>4</v>
      </c>
      <c r="B19" s="398"/>
      <c r="C19" s="398"/>
      <c r="D19" s="358">
        <f>SUM(D8:D18)</f>
        <v>928150</v>
      </c>
      <c r="E19" s="359">
        <f>SUM(E8:E18)</f>
        <v>928150</v>
      </c>
      <c r="F19" s="359">
        <f>SUM(F8:F18)</f>
        <v>928150</v>
      </c>
      <c r="G19" s="359">
        <f>SUM(G8:G18)</f>
        <v>0</v>
      </c>
      <c r="H19" s="359">
        <f>SUM(H8:H18)</f>
        <v>0</v>
      </c>
    </row>
    <row r="20" spans="1:8" ht="20.25" thickTop="1"/>
    <row r="24" spans="1:8">
      <c r="A24" s="78" t="s">
        <v>384</v>
      </c>
      <c r="B24" s="78"/>
      <c r="C24" s="78"/>
      <c r="D24" s="79"/>
      <c r="E24" s="79"/>
      <c r="F24" s="79"/>
      <c r="G24" s="79"/>
      <c r="H24" s="78"/>
    </row>
    <row r="25" spans="1:8">
      <c r="A25" s="78" t="s">
        <v>319</v>
      </c>
      <c r="B25" s="78"/>
      <c r="C25" s="78"/>
      <c r="D25" s="79"/>
      <c r="E25" s="79"/>
      <c r="F25" s="79"/>
      <c r="G25" s="79"/>
      <c r="H25" s="78"/>
    </row>
    <row r="26" spans="1:8">
      <c r="A26" s="396" t="s">
        <v>31</v>
      </c>
      <c r="B26" s="396" t="s">
        <v>84</v>
      </c>
      <c r="C26" s="396" t="s">
        <v>32</v>
      </c>
      <c r="D26" s="80" t="s">
        <v>7</v>
      </c>
      <c r="E26" s="394" t="s">
        <v>80</v>
      </c>
      <c r="F26" s="394" t="s">
        <v>81</v>
      </c>
      <c r="G26" s="394" t="s">
        <v>82</v>
      </c>
      <c r="H26" s="396" t="s">
        <v>83</v>
      </c>
    </row>
    <row r="27" spans="1:8">
      <c r="A27" s="397"/>
      <c r="B27" s="397"/>
      <c r="C27" s="397"/>
      <c r="D27" s="81" t="s">
        <v>85</v>
      </c>
      <c r="E27" s="395"/>
      <c r="F27" s="395"/>
      <c r="G27" s="395"/>
      <c r="H27" s="397"/>
    </row>
    <row r="28" spans="1:8" s="88" customFormat="1" ht="73.5" customHeight="1">
      <c r="A28" s="82" t="s">
        <v>72</v>
      </c>
      <c r="B28" s="82" t="s">
        <v>111</v>
      </c>
      <c r="C28" s="83" t="s">
        <v>383</v>
      </c>
      <c r="D28" s="84">
        <v>240000</v>
      </c>
      <c r="E28" s="84">
        <v>240000</v>
      </c>
      <c r="F28" s="85">
        <v>240000</v>
      </c>
      <c r="G28" s="86">
        <f>SUM(E28-F28)</f>
        <v>0</v>
      </c>
      <c r="H28" s="87">
        <f>SUM(D28-E28)</f>
        <v>0</v>
      </c>
    </row>
    <row r="29" spans="1:8">
      <c r="A29" s="399" t="s">
        <v>4</v>
      </c>
      <c r="B29" s="400"/>
      <c r="C29" s="401"/>
      <c r="D29" s="89">
        <f>SUM(D28:D28)</f>
        <v>240000</v>
      </c>
      <c r="E29" s="89">
        <f>SUM(E28:E28)</f>
        <v>240000</v>
      </c>
      <c r="F29" s="89">
        <f>SUM(F28:F28)</f>
        <v>240000</v>
      </c>
      <c r="G29" s="89">
        <f>SUM(G28:G28)</f>
        <v>0</v>
      </c>
      <c r="H29" s="89">
        <f>SUM(H28:H28)</f>
        <v>0</v>
      </c>
    </row>
  </sheetData>
  <mergeCells count="19">
    <mergeCell ref="G26:G27"/>
    <mergeCell ref="H26:H27"/>
    <mergeCell ref="A29:C29"/>
    <mergeCell ref="C6:C7"/>
    <mergeCell ref="A26:A27"/>
    <mergeCell ref="B26:B27"/>
    <mergeCell ref="C26:C27"/>
    <mergeCell ref="E26:E27"/>
    <mergeCell ref="F26:F27"/>
    <mergeCell ref="E6:E7"/>
    <mergeCell ref="F6:F7"/>
    <mergeCell ref="G6:G7"/>
    <mergeCell ref="H6:H7"/>
    <mergeCell ref="A1:H1"/>
    <mergeCell ref="A19:C19"/>
    <mergeCell ref="A2:H2"/>
    <mergeCell ref="A3:H3"/>
    <mergeCell ref="A6:A7"/>
    <mergeCell ref="B6:B7"/>
  </mergeCells>
  <pageMargins left="0.70866141732283472" right="0.31496062992125984" top="0.6" bottom="0.55118110236220474" header="0" footer="0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00B050"/>
  </sheetPr>
  <dimension ref="A1:AR37"/>
  <sheetViews>
    <sheetView view="pageBreakPreview" topLeftCell="A4" zoomScale="80" zoomScaleNormal="110" zoomScaleSheetLayoutView="80" workbookViewId="0">
      <pane xSplit="1" ySplit="1" topLeftCell="B5" activePane="bottomRight" state="frozen"/>
      <selection activeCell="A4" sqref="A4"/>
      <selection pane="topRight" activeCell="B4" sqref="B4"/>
      <selection pane="bottomLeft" activeCell="A5" sqref="A5"/>
      <selection pane="bottomRight" activeCell="H23" sqref="H23"/>
    </sheetView>
  </sheetViews>
  <sheetFormatPr defaultRowHeight="15"/>
  <cols>
    <col min="1" max="1" width="29.125" style="164" customWidth="1"/>
    <col min="2" max="2" width="11.5" style="164" customWidth="1"/>
    <col min="3" max="3" width="12.875" style="164" customWidth="1"/>
    <col min="4" max="4" width="12.125" style="164" customWidth="1"/>
    <col min="5" max="5" width="14.25" style="164" customWidth="1"/>
    <col min="6" max="15" width="12" style="164" customWidth="1"/>
    <col min="16" max="16" width="11" style="226" customWidth="1"/>
    <col min="17" max="44" width="9" style="43"/>
    <col min="45" max="16384" width="9" style="1"/>
  </cols>
  <sheetData>
    <row r="1" spans="1:30" s="90" customFormat="1" ht="22.5">
      <c r="A1" s="404" t="s">
        <v>127</v>
      </c>
      <c r="B1" s="404"/>
      <c r="C1" s="404"/>
      <c r="D1" s="404"/>
      <c r="E1" s="404"/>
      <c r="F1" s="404"/>
      <c r="G1" s="404"/>
      <c r="H1" s="404"/>
      <c r="I1" s="404"/>
      <c r="J1" s="404"/>
      <c r="K1" s="404"/>
      <c r="L1" s="404"/>
      <c r="M1" s="404"/>
      <c r="N1" s="404"/>
      <c r="O1" s="404"/>
      <c r="P1" s="225"/>
    </row>
    <row r="2" spans="1:30" s="90" customFormat="1" ht="22.5">
      <c r="A2" s="404" t="s">
        <v>93</v>
      </c>
      <c r="B2" s="404"/>
      <c r="C2" s="404"/>
      <c r="D2" s="404"/>
      <c r="E2" s="404"/>
      <c r="F2" s="404"/>
      <c r="G2" s="404"/>
      <c r="H2" s="404"/>
      <c r="I2" s="404"/>
      <c r="J2" s="404"/>
      <c r="K2" s="404"/>
      <c r="L2" s="404"/>
      <c r="M2" s="404"/>
      <c r="N2" s="404"/>
      <c r="O2" s="404"/>
      <c r="P2" s="225"/>
    </row>
    <row r="3" spans="1:30" s="43" customFormat="1" ht="27" customHeight="1">
      <c r="A3" s="404" t="s">
        <v>389</v>
      </c>
      <c r="B3" s="404"/>
      <c r="C3" s="404"/>
      <c r="D3" s="404"/>
      <c r="E3" s="404"/>
      <c r="F3" s="404"/>
      <c r="G3" s="404"/>
      <c r="H3" s="404"/>
      <c r="I3" s="404"/>
      <c r="J3" s="404"/>
      <c r="K3" s="404"/>
      <c r="L3" s="404"/>
      <c r="M3" s="404"/>
      <c r="N3" s="404"/>
      <c r="O3" s="404"/>
      <c r="P3" s="260"/>
      <c r="Q3" s="91"/>
      <c r="R3" s="91"/>
      <c r="S3" s="91"/>
      <c r="T3" s="91"/>
      <c r="U3" s="236"/>
      <c r="V3" s="236"/>
      <c r="W3" s="236"/>
      <c r="X3" s="236"/>
      <c r="Y3" s="236"/>
      <c r="Z3" s="236"/>
      <c r="AA3" s="236"/>
      <c r="AB3" s="236"/>
      <c r="AC3" s="236"/>
      <c r="AD3" s="236"/>
    </row>
    <row r="4" spans="1:30" s="96" customFormat="1" ht="89.25" customHeight="1">
      <c r="A4" s="92" t="s">
        <v>31</v>
      </c>
      <c r="B4" s="92" t="s">
        <v>49</v>
      </c>
      <c r="C4" s="93" t="s">
        <v>94</v>
      </c>
      <c r="D4" s="93" t="s">
        <v>95</v>
      </c>
      <c r="E4" s="93" t="s">
        <v>4</v>
      </c>
      <c r="F4" s="94" t="s">
        <v>96</v>
      </c>
      <c r="G4" s="95" t="s">
        <v>97</v>
      </c>
      <c r="H4" s="92" t="s">
        <v>50</v>
      </c>
      <c r="I4" s="92" t="s">
        <v>51</v>
      </c>
      <c r="J4" s="94" t="s">
        <v>98</v>
      </c>
      <c r="K4" s="94" t="s">
        <v>88</v>
      </c>
      <c r="L4" s="94" t="s">
        <v>99</v>
      </c>
      <c r="M4" s="94" t="s">
        <v>100</v>
      </c>
      <c r="N4" s="94" t="s">
        <v>52</v>
      </c>
      <c r="O4" s="92" t="s">
        <v>53</v>
      </c>
      <c r="P4" s="261"/>
      <c r="Q4" s="97"/>
      <c r="R4" s="97"/>
      <c r="S4" s="97"/>
      <c r="T4" s="97"/>
      <c r="U4" s="237"/>
      <c r="V4" s="237"/>
      <c r="W4" s="237"/>
      <c r="X4" s="237"/>
      <c r="Y4" s="237"/>
      <c r="Z4" s="237"/>
      <c r="AA4" s="237"/>
      <c r="AB4" s="237"/>
      <c r="AC4" s="237"/>
      <c r="AD4" s="237"/>
    </row>
    <row r="5" spans="1:30" s="43" customFormat="1" ht="23.1" customHeight="1">
      <c r="A5" s="275" t="s">
        <v>54</v>
      </c>
      <c r="B5" s="276"/>
      <c r="C5" s="276"/>
      <c r="D5" s="276"/>
      <c r="E5" s="276"/>
      <c r="F5" s="276"/>
      <c r="G5" s="276"/>
      <c r="H5" s="276"/>
      <c r="I5" s="276"/>
      <c r="J5" s="276"/>
      <c r="K5" s="276"/>
      <c r="L5" s="276"/>
      <c r="M5" s="276"/>
      <c r="N5" s="276"/>
      <c r="O5" s="276"/>
      <c r="P5" s="260"/>
      <c r="Q5" s="91"/>
      <c r="R5" s="91"/>
      <c r="S5" s="91"/>
      <c r="T5" s="91"/>
      <c r="U5" s="236"/>
      <c r="V5" s="236"/>
      <c r="W5" s="236"/>
      <c r="X5" s="236"/>
      <c r="Y5" s="236"/>
      <c r="Z5" s="236"/>
      <c r="AA5" s="236"/>
      <c r="AB5" s="236"/>
      <c r="AC5" s="236"/>
      <c r="AD5" s="236"/>
    </row>
    <row r="6" spans="1:30" s="90" customFormat="1" ht="23.1" customHeight="1">
      <c r="A6" s="277" t="s">
        <v>53</v>
      </c>
      <c r="B6" s="278">
        <v>13065250</v>
      </c>
      <c r="C6" s="278">
        <f>F6+G6+H6+I6+J6+K6+L6+M6+N6+O6</f>
        <v>11407734</v>
      </c>
      <c r="D6" s="278"/>
      <c r="E6" s="278">
        <f>SUM(C6:D6)</f>
        <v>11407734</v>
      </c>
      <c r="F6" s="279"/>
      <c r="G6" s="279"/>
      <c r="H6" s="279"/>
      <c r="I6" s="279"/>
      <c r="J6" s="279"/>
      <c r="K6" s="279"/>
      <c r="L6" s="279"/>
      <c r="M6" s="279"/>
      <c r="N6" s="279"/>
      <c r="O6" s="278">
        <v>11407734</v>
      </c>
      <c r="P6" s="262"/>
      <c r="Q6" s="106"/>
      <c r="R6" s="106"/>
      <c r="S6" s="106"/>
      <c r="T6" s="106"/>
      <c r="U6" s="238"/>
      <c r="V6" s="238"/>
      <c r="W6" s="238"/>
      <c r="X6" s="238"/>
      <c r="Y6" s="238"/>
      <c r="Z6" s="238"/>
      <c r="AA6" s="238"/>
      <c r="AB6" s="238"/>
      <c r="AC6" s="238"/>
      <c r="AD6" s="238"/>
    </row>
    <row r="7" spans="1:30" s="90" customFormat="1" ht="23.1" customHeight="1">
      <c r="A7" s="280" t="s">
        <v>55</v>
      </c>
      <c r="B7" s="278">
        <v>2902080</v>
      </c>
      <c r="C7" s="278">
        <f t="shared" ref="C7:C16" si="0">F7+G7+H7+I7+J7+K7+L7+M7+N7+O7</f>
        <v>2739600</v>
      </c>
      <c r="D7" s="278"/>
      <c r="E7" s="278">
        <f>SUM(C7:D7)</f>
        <v>2739600</v>
      </c>
      <c r="F7" s="281">
        <f>2739600</f>
        <v>2739600</v>
      </c>
      <c r="G7" s="281"/>
      <c r="H7" s="281"/>
      <c r="I7" s="281"/>
      <c r="J7" s="281"/>
      <c r="K7" s="281"/>
      <c r="L7" s="281"/>
      <c r="M7" s="281"/>
      <c r="N7" s="281"/>
      <c r="O7" s="281"/>
      <c r="P7" s="263"/>
      <c r="Q7" s="252"/>
      <c r="R7" s="93"/>
      <c r="S7" s="109"/>
      <c r="T7" s="227"/>
      <c r="U7" s="239"/>
      <c r="V7" s="239"/>
      <c r="W7" s="239"/>
      <c r="X7" s="239"/>
      <c r="Y7" s="240"/>
      <c r="Z7" s="240"/>
      <c r="AA7" s="240"/>
      <c r="AB7" s="239"/>
      <c r="AC7" s="239"/>
      <c r="AD7" s="239"/>
    </row>
    <row r="8" spans="1:30" s="90" customFormat="1" ht="23.1" customHeight="1">
      <c r="A8" s="277" t="s">
        <v>56</v>
      </c>
      <c r="B8" s="278">
        <v>11629681</v>
      </c>
      <c r="C8" s="278">
        <f t="shared" si="0"/>
        <v>8429386</v>
      </c>
      <c r="D8" s="278"/>
      <c r="E8" s="278">
        <f t="shared" ref="E8:E15" si="1">SUM(C8:D8)</f>
        <v>8429386</v>
      </c>
      <c r="F8" s="281">
        <f>3265704+1562220</f>
        <v>4827924</v>
      </c>
      <c r="G8" s="282"/>
      <c r="H8" s="282">
        <f>2075628</f>
        <v>2075628</v>
      </c>
      <c r="I8" s="281"/>
      <c r="J8" s="281">
        <f>553440</f>
        <v>553440</v>
      </c>
      <c r="K8" s="281">
        <f>972394</f>
        <v>972394</v>
      </c>
      <c r="L8" s="281"/>
      <c r="M8" s="282"/>
      <c r="N8" s="281"/>
      <c r="O8" s="281"/>
      <c r="P8" s="264"/>
      <c r="Q8" s="253"/>
      <c r="R8" s="113"/>
      <c r="S8" s="113"/>
      <c r="T8" s="228"/>
      <c r="U8" s="241"/>
      <c r="V8" s="241"/>
      <c r="W8" s="241"/>
      <c r="X8" s="241"/>
      <c r="Y8" s="241"/>
      <c r="Z8" s="241"/>
      <c r="AA8" s="241"/>
      <c r="AB8" s="241"/>
      <c r="AC8" s="241"/>
      <c r="AD8" s="241"/>
    </row>
    <row r="9" spans="1:30" s="90" customFormat="1" ht="23.1" customHeight="1">
      <c r="A9" s="280" t="s">
        <v>3</v>
      </c>
      <c r="B9" s="278">
        <v>1090000</v>
      </c>
      <c r="C9" s="278">
        <f t="shared" si="0"/>
        <v>835580.5</v>
      </c>
      <c r="D9" s="278"/>
      <c r="E9" s="278">
        <f t="shared" si="1"/>
        <v>835580.5</v>
      </c>
      <c r="F9" s="281">
        <f>501880+186461.5</f>
        <v>688341.5</v>
      </c>
      <c r="G9" s="282"/>
      <c r="H9" s="282">
        <f>8000</f>
        <v>8000</v>
      </c>
      <c r="I9" s="281"/>
      <c r="J9" s="281">
        <f>50649</f>
        <v>50649</v>
      </c>
      <c r="K9" s="281">
        <f>88590</f>
        <v>88590</v>
      </c>
      <c r="L9" s="281"/>
      <c r="M9" s="281"/>
      <c r="N9" s="281"/>
      <c r="O9" s="281"/>
      <c r="P9" s="265"/>
      <c r="Q9" s="254"/>
      <c r="R9" s="114"/>
      <c r="S9" s="115"/>
      <c r="T9" s="229"/>
      <c r="U9" s="242"/>
      <c r="V9" s="242"/>
      <c r="W9" s="242"/>
      <c r="X9" s="242"/>
      <c r="Y9" s="242"/>
      <c r="Z9" s="242"/>
      <c r="AA9" s="242"/>
      <c r="AB9" s="242"/>
      <c r="AC9" s="242"/>
      <c r="AD9" s="242"/>
    </row>
    <row r="10" spans="1:30" s="90" customFormat="1" ht="23.1" customHeight="1">
      <c r="A10" s="277" t="s">
        <v>57</v>
      </c>
      <c r="B10" s="278">
        <v>4531900</v>
      </c>
      <c r="C10" s="278">
        <f t="shared" si="0"/>
        <v>3746072.98</v>
      </c>
      <c r="D10" s="278"/>
      <c r="E10" s="278">
        <f t="shared" si="1"/>
        <v>3746072.98</v>
      </c>
      <c r="F10" s="281">
        <f>1402991.98+138270</f>
        <v>1541261.98</v>
      </c>
      <c r="G10" s="282">
        <f>216650</f>
        <v>216650</v>
      </c>
      <c r="H10" s="282">
        <f>6518+850462</f>
        <v>856980</v>
      </c>
      <c r="I10" s="281"/>
      <c r="J10" s="281">
        <f>169000</f>
        <v>169000</v>
      </c>
      <c r="K10" s="281">
        <f>375238+411559</f>
        <v>786797</v>
      </c>
      <c r="L10" s="281">
        <f>15000</f>
        <v>15000</v>
      </c>
      <c r="M10" s="281">
        <f>125584+34800</f>
        <v>160384</v>
      </c>
      <c r="N10" s="281"/>
      <c r="O10" s="281"/>
      <c r="P10" s="266"/>
      <c r="Q10" s="254"/>
      <c r="R10" s="114"/>
      <c r="S10" s="115"/>
      <c r="T10" s="229"/>
      <c r="U10" s="242"/>
      <c r="V10" s="242"/>
      <c r="W10" s="242"/>
      <c r="X10" s="242"/>
      <c r="Y10" s="242"/>
      <c r="Z10" s="242"/>
      <c r="AA10" s="242"/>
      <c r="AB10" s="242"/>
      <c r="AC10" s="242"/>
      <c r="AD10" s="242"/>
    </row>
    <row r="11" spans="1:30" s="90" customFormat="1" ht="23.1" customHeight="1">
      <c r="A11" s="277" t="s">
        <v>58</v>
      </c>
      <c r="B11" s="278">
        <v>2507989</v>
      </c>
      <c r="C11" s="278">
        <f t="shared" si="0"/>
        <v>2022413.02</v>
      </c>
      <c r="D11" s="278"/>
      <c r="E11" s="278">
        <f t="shared" si="1"/>
        <v>2022413.02</v>
      </c>
      <c r="F11" s="281">
        <f>420406+98941</f>
        <v>519347</v>
      </c>
      <c r="G11" s="282"/>
      <c r="H11" s="283">
        <f>47347+987149.02</f>
        <v>1034496.02</v>
      </c>
      <c r="I11" s="281">
        <f>46500</f>
        <v>46500</v>
      </c>
      <c r="J11" s="281">
        <f>18371</f>
        <v>18371</v>
      </c>
      <c r="K11" s="281">
        <f>310815</f>
        <v>310815</v>
      </c>
      <c r="L11" s="281"/>
      <c r="M11" s="281">
        <f>69784</f>
        <v>69784</v>
      </c>
      <c r="N11" s="281">
        <f>23100</f>
        <v>23100</v>
      </c>
      <c r="O11" s="281"/>
      <c r="P11" s="265"/>
      <c r="Q11" s="254"/>
      <c r="R11" s="114"/>
      <c r="S11" s="115"/>
      <c r="T11" s="229"/>
      <c r="U11" s="242"/>
      <c r="V11" s="242"/>
      <c r="W11" s="242"/>
      <c r="X11" s="242"/>
      <c r="Y11" s="242"/>
      <c r="Z11" s="242"/>
      <c r="AA11" s="242"/>
      <c r="AB11" s="242"/>
      <c r="AC11" s="242"/>
      <c r="AD11" s="242"/>
    </row>
    <row r="12" spans="1:30" s="90" customFormat="1" ht="23.1" customHeight="1">
      <c r="A12" s="280" t="s">
        <v>59</v>
      </c>
      <c r="B12" s="278">
        <v>592000</v>
      </c>
      <c r="C12" s="278">
        <f t="shared" si="0"/>
        <v>497168.95</v>
      </c>
      <c r="D12" s="278"/>
      <c r="E12" s="278">
        <f t="shared" si="1"/>
        <v>497168.95</v>
      </c>
      <c r="F12" s="281">
        <v>492381.93</v>
      </c>
      <c r="G12" s="282"/>
      <c r="H12" s="282">
        <f>4787.02</f>
        <v>4787.0200000000004</v>
      </c>
      <c r="I12" s="282"/>
      <c r="J12" s="281"/>
      <c r="K12" s="281"/>
      <c r="L12" s="281"/>
      <c r="M12" s="281"/>
      <c r="N12" s="281"/>
      <c r="O12" s="281"/>
      <c r="P12" s="266"/>
      <c r="Q12" s="254"/>
      <c r="R12" s="114"/>
      <c r="S12" s="115"/>
      <c r="T12" s="229"/>
      <c r="U12" s="242"/>
      <c r="V12" s="242"/>
      <c r="W12" s="242"/>
      <c r="X12" s="242"/>
      <c r="Y12" s="242"/>
      <c r="Z12" s="242"/>
      <c r="AA12" s="242"/>
      <c r="AB12" s="242"/>
      <c r="AC12" s="242"/>
      <c r="AD12" s="242"/>
    </row>
    <row r="13" spans="1:30" s="90" customFormat="1" ht="23.1" customHeight="1">
      <c r="A13" s="280" t="s">
        <v>103</v>
      </c>
      <c r="B13" s="278">
        <v>551700</v>
      </c>
      <c r="C13" s="278">
        <f t="shared" si="0"/>
        <v>420700</v>
      </c>
      <c r="D13" s="278"/>
      <c r="E13" s="278">
        <f t="shared" si="1"/>
        <v>420700</v>
      </c>
      <c r="F13" s="281">
        <v>71100</v>
      </c>
      <c r="G13" s="282"/>
      <c r="H13" s="282">
        <f>171400</f>
        <v>171400</v>
      </c>
      <c r="I13" s="281"/>
      <c r="J13" s="281"/>
      <c r="K13" s="281">
        <f>178200</f>
        <v>178200</v>
      </c>
      <c r="L13" s="281"/>
      <c r="M13" s="281"/>
      <c r="N13" s="281"/>
      <c r="O13" s="281"/>
      <c r="P13" s="266"/>
      <c r="Q13" s="254"/>
      <c r="R13" s="114"/>
      <c r="S13" s="115"/>
      <c r="T13" s="229"/>
      <c r="U13" s="243"/>
      <c r="V13" s="242"/>
      <c r="W13" s="242"/>
      <c r="X13" s="242"/>
      <c r="Y13" s="242"/>
      <c r="Z13" s="242"/>
      <c r="AA13" s="242"/>
      <c r="AB13" s="242"/>
      <c r="AC13" s="242"/>
      <c r="AD13" s="242"/>
    </row>
    <row r="14" spans="1:30" s="90" customFormat="1" ht="23.1" customHeight="1">
      <c r="A14" s="280" t="s">
        <v>104</v>
      </c>
      <c r="B14" s="278">
        <v>3775400</v>
      </c>
      <c r="C14" s="278">
        <f t="shared" si="0"/>
        <v>3716800</v>
      </c>
      <c r="D14" s="278"/>
      <c r="E14" s="278">
        <f t="shared" si="1"/>
        <v>3716800</v>
      </c>
      <c r="F14" s="281">
        <v>0</v>
      </c>
      <c r="G14" s="281"/>
      <c r="H14" s="282">
        <f>347800</f>
        <v>347800</v>
      </c>
      <c r="I14" s="281"/>
      <c r="J14" s="281"/>
      <c r="K14" s="281">
        <f>1254000+2115000</f>
        <v>3369000</v>
      </c>
      <c r="L14" s="281"/>
      <c r="M14" s="281"/>
      <c r="N14" s="281"/>
      <c r="O14" s="281"/>
      <c r="P14" s="265"/>
      <c r="Q14" s="254"/>
      <c r="R14" s="114"/>
      <c r="S14" s="115"/>
      <c r="T14" s="229"/>
      <c r="U14" s="242"/>
      <c r="V14" s="242"/>
      <c r="W14" s="242"/>
      <c r="X14" s="242"/>
      <c r="Y14" s="242"/>
      <c r="Z14" s="242"/>
      <c r="AA14" s="242"/>
      <c r="AB14" s="242"/>
      <c r="AC14" s="242"/>
      <c r="AD14" s="242"/>
    </row>
    <row r="15" spans="1:30" s="90" customFormat="1" ht="23.1" customHeight="1">
      <c r="A15" s="280" t="s">
        <v>60</v>
      </c>
      <c r="B15" s="278">
        <v>20000</v>
      </c>
      <c r="C15" s="278">
        <f t="shared" si="0"/>
        <v>10000</v>
      </c>
      <c r="D15" s="278"/>
      <c r="E15" s="278">
        <f t="shared" si="1"/>
        <v>10000</v>
      </c>
      <c r="F15" s="281">
        <v>10000</v>
      </c>
      <c r="G15" s="281"/>
      <c r="H15" s="282"/>
      <c r="I15" s="281"/>
      <c r="J15" s="281"/>
      <c r="K15" s="281"/>
      <c r="L15" s="281"/>
      <c r="M15" s="281"/>
      <c r="N15" s="281"/>
      <c r="O15" s="281"/>
      <c r="P15" s="265"/>
      <c r="Q15" s="254"/>
      <c r="R15" s="114"/>
      <c r="S15" s="115"/>
      <c r="T15" s="229"/>
      <c r="U15" s="242"/>
      <c r="V15" s="242"/>
      <c r="W15" s="242"/>
      <c r="X15" s="242"/>
      <c r="Y15" s="242"/>
      <c r="Z15" s="242"/>
      <c r="AA15" s="242"/>
      <c r="AB15" s="242"/>
      <c r="AC15" s="242"/>
      <c r="AD15" s="242"/>
    </row>
    <row r="16" spans="1:30" s="90" customFormat="1" ht="23.1" customHeight="1">
      <c r="A16" s="277" t="s">
        <v>61</v>
      </c>
      <c r="B16" s="278">
        <v>2537000</v>
      </c>
      <c r="C16" s="278">
        <f t="shared" si="0"/>
        <v>2417529.0299999998</v>
      </c>
      <c r="D16" s="278"/>
      <c r="E16" s="278">
        <f>SUM(C16:D16)</f>
        <v>2417529.0299999998</v>
      </c>
      <c r="F16" s="281">
        <f>50000+23000</f>
        <v>73000</v>
      </c>
      <c r="G16" s="281"/>
      <c r="H16" s="282">
        <f>1760000+50000</f>
        <v>1810000</v>
      </c>
      <c r="I16" s="281">
        <f>240000</f>
        <v>240000</v>
      </c>
      <c r="J16" s="281"/>
      <c r="K16" s="282">
        <f>254529.03</f>
        <v>254529.03</v>
      </c>
      <c r="L16" s="281"/>
      <c r="M16" s="281">
        <f>30000+10000</f>
        <v>40000</v>
      </c>
      <c r="N16" s="281"/>
      <c r="O16" s="281"/>
      <c r="P16" s="265"/>
      <c r="Q16" s="254"/>
      <c r="R16" s="114"/>
      <c r="S16" s="115"/>
      <c r="T16" s="229"/>
      <c r="U16" s="242"/>
      <c r="V16" s="242"/>
      <c r="W16" s="242"/>
      <c r="X16" s="242"/>
      <c r="Y16" s="242"/>
      <c r="Z16" s="242"/>
      <c r="AA16" s="242"/>
      <c r="AB16" s="242"/>
      <c r="AC16" s="242"/>
      <c r="AD16" s="242"/>
    </row>
    <row r="17" spans="1:30" s="90" customFormat="1" ht="23.1" customHeight="1">
      <c r="A17" s="284" t="s">
        <v>108</v>
      </c>
      <c r="B17" s="285"/>
      <c r="C17" s="285"/>
      <c r="D17" s="285"/>
      <c r="E17" s="285"/>
      <c r="F17" s="286"/>
      <c r="G17" s="286"/>
      <c r="H17" s="286"/>
      <c r="I17" s="286"/>
      <c r="J17" s="286"/>
      <c r="K17" s="286"/>
      <c r="L17" s="286"/>
      <c r="M17" s="286"/>
      <c r="N17" s="286"/>
      <c r="O17" s="286"/>
      <c r="P17" s="265"/>
      <c r="Q17" s="254"/>
      <c r="R17" s="114"/>
      <c r="S17" s="115"/>
      <c r="T17" s="229"/>
      <c r="U17" s="242"/>
      <c r="V17" s="242"/>
      <c r="W17" s="242"/>
      <c r="X17" s="242"/>
      <c r="Y17" s="242"/>
      <c r="Z17" s="242"/>
      <c r="AA17" s="242"/>
      <c r="AB17" s="242"/>
      <c r="AC17" s="242"/>
      <c r="AD17" s="242"/>
    </row>
    <row r="18" spans="1:30" s="90" customFormat="1" ht="23.1" customHeight="1" thickBot="1">
      <c r="A18" s="121" t="s">
        <v>62</v>
      </c>
      <c r="B18" s="122">
        <f>SUM(B5:B17)</f>
        <v>43203000</v>
      </c>
      <c r="C18" s="123">
        <f>SUM(C6:C17)</f>
        <v>36242984.480000004</v>
      </c>
      <c r="D18" s="224" t="s">
        <v>411</v>
      </c>
      <c r="E18" s="123">
        <f>SUM(C18:D18)</f>
        <v>36242984.480000004</v>
      </c>
      <c r="F18" s="124">
        <f>SUM(F6:F17)</f>
        <v>10962956.41</v>
      </c>
      <c r="G18" s="124">
        <f t="shared" ref="G18:O18" si="2">SUM(G6:G17)</f>
        <v>216650</v>
      </c>
      <c r="H18" s="124">
        <f t="shared" si="2"/>
        <v>6309091.04</v>
      </c>
      <c r="I18" s="124">
        <f t="shared" si="2"/>
        <v>286500</v>
      </c>
      <c r="J18" s="124">
        <f t="shared" si="2"/>
        <v>791460</v>
      </c>
      <c r="K18" s="124">
        <f t="shared" si="2"/>
        <v>5960325.0300000003</v>
      </c>
      <c r="L18" s="124">
        <f t="shared" si="2"/>
        <v>15000</v>
      </c>
      <c r="M18" s="124">
        <f t="shared" si="2"/>
        <v>270168</v>
      </c>
      <c r="N18" s="124">
        <f t="shared" si="2"/>
        <v>23100</v>
      </c>
      <c r="O18" s="124">
        <f t="shared" si="2"/>
        <v>11407734</v>
      </c>
      <c r="P18" s="372"/>
      <c r="Q18" s="254"/>
      <c r="R18" s="114"/>
      <c r="S18" s="115"/>
      <c r="T18" s="229"/>
      <c r="U18" s="242"/>
      <c r="V18" s="242"/>
      <c r="W18" s="242"/>
      <c r="X18" s="242"/>
      <c r="Y18" s="242"/>
      <c r="Z18" s="242"/>
      <c r="AA18" s="242"/>
      <c r="AB18" s="242"/>
      <c r="AC18" s="242"/>
      <c r="AD18" s="242"/>
    </row>
    <row r="19" spans="1:30" s="90" customFormat="1" ht="23.1" customHeight="1" thickTop="1">
      <c r="A19" s="288" t="s">
        <v>63</v>
      </c>
      <c r="B19" s="289"/>
      <c r="C19" s="289"/>
      <c r="D19" s="289"/>
      <c r="E19" s="289"/>
      <c r="F19" s="289"/>
      <c r="G19" s="289"/>
      <c r="H19" s="289"/>
      <c r="I19" s="289"/>
      <c r="J19" s="289"/>
      <c r="K19" s="289"/>
      <c r="L19" s="289"/>
      <c r="M19" s="289"/>
      <c r="N19" s="289"/>
      <c r="O19" s="289"/>
      <c r="P19" s="266"/>
      <c r="Q19" s="255"/>
      <c r="R19" s="114"/>
      <c r="S19" s="128"/>
      <c r="T19" s="230"/>
      <c r="U19" s="242"/>
      <c r="V19" s="242"/>
      <c r="W19" s="242"/>
      <c r="X19" s="242"/>
      <c r="Y19" s="242"/>
      <c r="Z19" s="242"/>
      <c r="AA19" s="242"/>
      <c r="AB19" s="242"/>
      <c r="AC19" s="242"/>
      <c r="AD19" s="242"/>
    </row>
    <row r="20" spans="1:30" s="90" customFormat="1" ht="23.1" customHeight="1" thickBot="1">
      <c r="A20" s="290" t="s">
        <v>64</v>
      </c>
      <c r="B20" s="291">
        <v>491500</v>
      </c>
      <c r="C20" s="278">
        <v>580227.77</v>
      </c>
      <c r="D20" s="278"/>
      <c r="E20" s="278">
        <f>SUM(C20:D20)</f>
        <v>580227.77</v>
      </c>
      <c r="F20" s="278"/>
      <c r="G20" s="292"/>
      <c r="H20" s="292"/>
      <c r="I20" s="292"/>
      <c r="J20" s="292"/>
      <c r="K20" s="292"/>
      <c r="L20" s="292"/>
      <c r="M20" s="292"/>
      <c r="N20" s="292"/>
      <c r="O20" s="292"/>
      <c r="P20" s="267"/>
      <c r="Q20" s="256"/>
      <c r="R20" s="134"/>
      <c r="S20" s="135"/>
      <c r="T20" s="231"/>
      <c r="U20" s="244"/>
      <c r="V20" s="244"/>
      <c r="W20" s="244"/>
      <c r="X20" s="244"/>
      <c r="Y20" s="244"/>
      <c r="Z20" s="244"/>
      <c r="AA20" s="244"/>
      <c r="AB20" s="244"/>
      <c r="AC20" s="244"/>
      <c r="AD20" s="244"/>
    </row>
    <row r="21" spans="1:30" s="90" customFormat="1" ht="23.1" customHeight="1" thickTop="1">
      <c r="A21" s="290" t="s">
        <v>106</v>
      </c>
      <c r="B21" s="278">
        <v>145500</v>
      </c>
      <c r="C21" s="278">
        <v>143986</v>
      </c>
      <c r="D21" s="278"/>
      <c r="E21" s="278">
        <f t="shared" ref="E21:E27" si="3">SUM(C21:D21)</f>
        <v>143986</v>
      </c>
      <c r="F21" s="278"/>
      <c r="G21" s="292"/>
      <c r="H21" s="292"/>
      <c r="I21" s="292"/>
      <c r="J21" s="292"/>
      <c r="K21" s="292"/>
      <c r="L21" s="292"/>
      <c r="M21" s="292"/>
      <c r="N21" s="292"/>
      <c r="O21" s="292"/>
      <c r="P21" s="268"/>
      <c r="Q21" s="257"/>
      <c r="R21" s="136"/>
      <c r="S21" s="136"/>
      <c r="T21" s="232"/>
      <c r="U21" s="245"/>
      <c r="V21" s="245"/>
      <c r="W21" s="245"/>
      <c r="X21" s="245"/>
      <c r="Y21" s="245"/>
      <c r="Z21" s="245"/>
      <c r="AA21" s="245"/>
      <c r="AB21" s="245"/>
      <c r="AC21" s="245"/>
      <c r="AD21" s="245"/>
    </row>
    <row r="22" spans="1:30" s="90" customFormat="1" ht="23.1" customHeight="1">
      <c r="A22" s="290" t="s">
        <v>65</v>
      </c>
      <c r="B22" s="278">
        <v>200000</v>
      </c>
      <c r="C22" s="278">
        <v>153646.03</v>
      </c>
      <c r="D22" s="278"/>
      <c r="E22" s="278">
        <f t="shared" si="3"/>
        <v>153646.03</v>
      </c>
      <c r="F22" s="278"/>
      <c r="G22" s="292"/>
      <c r="H22" s="292"/>
      <c r="I22" s="292"/>
      <c r="J22" s="292"/>
      <c r="K22" s="292"/>
      <c r="L22" s="292"/>
      <c r="M22" s="292"/>
      <c r="N22" s="292"/>
      <c r="O22" s="292"/>
      <c r="P22" s="269"/>
      <c r="Q22" s="258"/>
      <c r="R22" s="114"/>
      <c r="S22" s="114"/>
      <c r="T22" s="233"/>
      <c r="U22" s="246"/>
      <c r="V22" s="246"/>
      <c r="W22" s="246"/>
      <c r="X22" s="246"/>
      <c r="Y22" s="246"/>
      <c r="Z22" s="246"/>
      <c r="AA22" s="246"/>
      <c r="AB22" s="246"/>
      <c r="AC22" s="246"/>
      <c r="AD22" s="246"/>
    </row>
    <row r="23" spans="1:30" s="90" customFormat="1" ht="23.1" customHeight="1">
      <c r="A23" s="293" t="s">
        <v>107</v>
      </c>
      <c r="B23" s="278" t="s">
        <v>411</v>
      </c>
      <c r="C23" s="278" t="s">
        <v>411</v>
      </c>
      <c r="D23" s="278"/>
      <c r="E23" s="278" t="s">
        <v>411</v>
      </c>
      <c r="F23" s="278"/>
      <c r="G23" s="292"/>
      <c r="H23" s="292"/>
      <c r="I23" s="292"/>
      <c r="J23" s="292"/>
      <c r="K23" s="292"/>
      <c r="L23" s="292"/>
      <c r="M23" s="292"/>
      <c r="N23" s="292"/>
      <c r="O23" s="292"/>
      <c r="P23" s="269"/>
      <c r="Q23" s="254"/>
      <c r="R23" s="114"/>
      <c r="S23" s="114"/>
      <c r="T23" s="233"/>
      <c r="U23" s="246"/>
      <c r="V23" s="246"/>
      <c r="W23" s="246"/>
      <c r="X23" s="246"/>
      <c r="Y23" s="246"/>
      <c r="Z23" s="246"/>
      <c r="AA23" s="246"/>
      <c r="AB23" s="246"/>
      <c r="AC23" s="246"/>
      <c r="AD23" s="246"/>
    </row>
    <row r="24" spans="1:30" s="90" customFormat="1" ht="23.1" customHeight="1">
      <c r="A24" s="290" t="s">
        <v>66</v>
      </c>
      <c r="B24" s="278">
        <v>365000</v>
      </c>
      <c r="C24" s="278">
        <v>126350</v>
      </c>
      <c r="D24" s="278"/>
      <c r="E24" s="278">
        <f t="shared" si="3"/>
        <v>126350</v>
      </c>
      <c r="F24" s="278"/>
      <c r="G24" s="292"/>
      <c r="H24" s="292"/>
      <c r="I24" s="292"/>
      <c r="J24" s="292"/>
      <c r="K24" s="292"/>
      <c r="L24" s="292"/>
      <c r="M24" s="292"/>
      <c r="N24" s="292"/>
      <c r="O24" s="292"/>
      <c r="P24" s="269"/>
      <c r="Q24" s="254"/>
      <c r="R24" s="114"/>
      <c r="S24" s="114"/>
      <c r="T24" s="233"/>
      <c r="U24" s="246"/>
      <c r="V24" s="246"/>
      <c r="W24" s="246"/>
      <c r="X24" s="246"/>
      <c r="Y24" s="246"/>
      <c r="Z24" s="246"/>
      <c r="AA24" s="246"/>
      <c r="AB24" s="246"/>
      <c r="AC24" s="246"/>
      <c r="AD24" s="246"/>
    </row>
    <row r="25" spans="1:30" s="90" customFormat="1" ht="23.1" customHeight="1">
      <c r="A25" s="290" t="s">
        <v>91</v>
      </c>
      <c r="B25" s="278" t="s">
        <v>411</v>
      </c>
      <c r="C25" s="278" t="s">
        <v>411</v>
      </c>
      <c r="D25" s="278"/>
      <c r="E25" s="278" t="s">
        <v>105</v>
      </c>
      <c r="F25" s="278"/>
      <c r="G25" s="292"/>
      <c r="H25" s="292"/>
      <c r="I25" s="292"/>
      <c r="J25" s="292"/>
      <c r="K25" s="292"/>
      <c r="L25" s="292"/>
      <c r="M25" s="292"/>
      <c r="N25" s="292"/>
      <c r="O25" s="292"/>
      <c r="P25" s="270"/>
      <c r="Q25" s="254"/>
      <c r="R25" s="114"/>
      <c r="S25" s="114"/>
      <c r="T25" s="233"/>
      <c r="U25" s="246"/>
      <c r="V25" s="246"/>
      <c r="W25" s="246"/>
      <c r="X25" s="246"/>
      <c r="Y25" s="246"/>
      <c r="Z25" s="246"/>
      <c r="AA25" s="246"/>
      <c r="AB25" s="246"/>
      <c r="AC25" s="246"/>
      <c r="AD25" s="246"/>
    </row>
    <row r="26" spans="1:30" s="90" customFormat="1" ht="23.1" customHeight="1">
      <c r="A26" s="290" t="s">
        <v>67</v>
      </c>
      <c r="B26" s="278">
        <v>18053000</v>
      </c>
      <c r="C26" s="278">
        <v>19407164.699999999</v>
      </c>
      <c r="D26" s="278"/>
      <c r="E26" s="278">
        <f t="shared" si="3"/>
        <v>19407164.699999999</v>
      </c>
      <c r="F26" s="278"/>
      <c r="G26" s="292"/>
      <c r="H26" s="292"/>
      <c r="I26" s="292"/>
      <c r="J26" s="292"/>
      <c r="K26" s="292"/>
      <c r="L26" s="292"/>
      <c r="M26" s="292"/>
      <c r="N26" s="292"/>
      <c r="O26" s="292"/>
      <c r="P26" s="269"/>
      <c r="Q26" s="254"/>
      <c r="R26" s="114"/>
      <c r="S26" s="114"/>
      <c r="T26" s="233"/>
      <c r="U26" s="246"/>
      <c r="V26" s="246"/>
      <c r="W26" s="246"/>
      <c r="X26" s="246"/>
      <c r="Y26" s="246"/>
      <c r="Z26" s="246"/>
      <c r="AA26" s="246"/>
      <c r="AB26" s="246"/>
      <c r="AC26" s="246"/>
      <c r="AD26" s="246"/>
    </row>
    <row r="27" spans="1:30" s="90" customFormat="1" ht="23.1" customHeight="1">
      <c r="A27" s="290" t="s">
        <v>68</v>
      </c>
      <c r="B27" s="278">
        <v>23948000</v>
      </c>
      <c r="C27" s="278">
        <v>20167645</v>
      </c>
      <c r="D27" s="278"/>
      <c r="E27" s="278">
        <f t="shared" si="3"/>
        <v>20167645</v>
      </c>
      <c r="F27" s="278"/>
      <c r="G27" s="292"/>
      <c r="H27" s="292"/>
      <c r="I27" s="292"/>
      <c r="J27" s="292"/>
      <c r="K27" s="292"/>
      <c r="L27" s="292"/>
      <c r="M27" s="292"/>
      <c r="N27" s="292"/>
      <c r="O27" s="292"/>
      <c r="P27" s="269"/>
      <c r="Q27" s="254"/>
      <c r="R27" s="114"/>
      <c r="S27" s="114"/>
      <c r="T27" s="233"/>
      <c r="U27" s="246"/>
      <c r="V27" s="246"/>
      <c r="W27" s="246"/>
      <c r="X27" s="246"/>
      <c r="Y27" s="246"/>
      <c r="Z27" s="246"/>
      <c r="AA27" s="246"/>
      <c r="AB27" s="246"/>
      <c r="AC27" s="246"/>
      <c r="AD27" s="246"/>
    </row>
    <row r="28" spans="1:30" s="90" customFormat="1" ht="23.1" customHeight="1">
      <c r="A28" s="290" t="s">
        <v>108</v>
      </c>
      <c r="B28" s="294"/>
      <c r="C28" s="294"/>
      <c r="D28" s="295"/>
      <c r="E28" s="294"/>
      <c r="F28" s="278"/>
      <c r="G28" s="292"/>
      <c r="H28" s="292"/>
      <c r="I28" s="292"/>
      <c r="J28" s="292"/>
      <c r="K28" s="292"/>
      <c r="L28" s="292"/>
      <c r="M28" s="292"/>
      <c r="N28" s="292"/>
      <c r="O28" s="292"/>
      <c r="P28" s="269"/>
      <c r="Q28" s="254"/>
      <c r="R28" s="114"/>
      <c r="S28" s="114"/>
      <c r="T28" s="233"/>
      <c r="U28" s="246"/>
      <c r="V28" s="246"/>
      <c r="W28" s="246"/>
      <c r="X28" s="246"/>
      <c r="Y28" s="246"/>
      <c r="Z28" s="246"/>
      <c r="AA28" s="246"/>
      <c r="AB28" s="246"/>
      <c r="AC28" s="246"/>
      <c r="AD28" s="246"/>
    </row>
    <row r="29" spans="1:30" s="90" customFormat="1" ht="23.1" customHeight="1" thickBot="1">
      <c r="A29" s="287" t="s">
        <v>69</v>
      </c>
      <c r="B29" s="123">
        <f>SUM(B20:B28)</f>
        <v>43203000</v>
      </c>
      <c r="C29" s="123">
        <f>SUM(C20:C28)</f>
        <v>40579019.5</v>
      </c>
      <c r="D29" s="224" t="s">
        <v>411</v>
      </c>
      <c r="E29" s="123">
        <f>SUM(C29:D29)</f>
        <v>40579019.5</v>
      </c>
      <c r="F29" s="142"/>
      <c r="G29" s="143"/>
      <c r="H29" s="143"/>
      <c r="I29" s="143"/>
      <c r="J29" s="143"/>
      <c r="K29" s="143"/>
      <c r="L29" s="143"/>
      <c r="M29" s="143"/>
      <c r="N29" s="143"/>
      <c r="O29" s="143"/>
      <c r="P29" s="270"/>
      <c r="Q29" s="254"/>
      <c r="R29" s="114"/>
      <c r="S29" s="114"/>
      <c r="T29" s="233"/>
      <c r="U29" s="246"/>
      <c r="V29" s="246"/>
      <c r="W29" s="246"/>
      <c r="X29" s="246"/>
      <c r="Y29" s="246"/>
      <c r="Z29" s="246"/>
      <c r="AA29" s="246"/>
      <c r="AB29" s="246"/>
      <c r="AC29" s="246"/>
      <c r="AD29" s="246"/>
    </row>
    <row r="30" spans="1:30" s="90" customFormat="1" ht="23.1" customHeight="1" thickTop="1" thickBot="1">
      <c r="A30" s="144" t="s">
        <v>112</v>
      </c>
      <c r="B30" s="145"/>
      <c r="C30" s="146"/>
      <c r="D30" s="146"/>
      <c r="E30" s="147">
        <f>E29-E18</f>
        <v>4336035.0199999958</v>
      </c>
      <c r="F30" s="148"/>
      <c r="G30" s="145"/>
      <c r="H30" s="145"/>
      <c r="I30" s="145"/>
      <c r="J30" s="145"/>
      <c r="K30" s="145"/>
      <c r="L30" s="145"/>
      <c r="M30" s="145"/>
      <c r="N30" s="145"/>
      <c r="O30" s="145"/>
      <c r="P30" s="270"/>
      <c r="Q30" s="255"/>
      <c r="R30" s="150"/>
      <c r="S30" s="127"/>
      <c r="T30" s="234"/>
      <c r="U30" s="246"/>
      <c r="V30" s="246"/>
      <c r="W30" s="246"/>
      <c r="X30" s="246"/>
      <c r="Y30" s="246"/>
      <c r="Z30" s="246"/>
      <c r="AA30" s="246"/>
      <c r="AB30" s="246"/>
      <c r="AC30" s="246"/>
      <c r="AD30" s="246"/>
    </row>
    <row r="31" spans="1:30" s="43" customFormat="1" ht="22.5" thickTop="1" thickBot="1">
      <c r="A31" s="152"/>
      <c r="B31" s="152" t="s">
        <v>385</v>
      </c>
      <c r="C31" s="152"/>
      <c r="D31" s="152"/>
      <c r="E31" s="152"/>
      <c r="F31" s="152"/>
      <c r="G31" s="152" t="s">
        <v>385</v>
      </c>
      <c r="H31" s="152"/>
      <c r="I31" s="152"/>
      <c r="J31" s="152"/>
      <c r="K31" s="152"/>
      <c r="L31" s="152" t="s">
        <v>385</v>
      </c>
      <c r="M31" s="152"/>
      <c r="N31" s="152"/>
      <c r="O31" s="152"/>
      <c r="P31" s="271"/>
      <c r="Q31" s="259"/>
      <c r="R31" s="155"/>
      <c r="S31" s="156"/>
      <c r="T31" s="235"/>
      <c r="U31" s="247"/>
      <c r="V31" s="247"/>
      <c r="W31" s="247"/>
      <c r="X31" s="247"/>
      <c r="Y31" s="247"/>
      <c r="Z31" s="247"/>
      <c r="AA31" s="247"/>
      <c r="AB31" s="247"/>
      <c r="AC31" s="247"/>
      <c r="AD31" s="247"/>
    </row>
    <row r="32" spans="1:30" s="43" customFormat="1" ht="69" customHeight="1" thickTop="1" thickBot="1">
      <c r="A32" s="158"/>
      <c r="B32" s="403" t="s">
        <v>386</v>
      </c>
      <c r="C32" s="403"/>
      <c r="D32" s="403"/>
      <c r="E32" s="158"/>
      <c r="F32" s="158"/>
      <c r="G32" s="403" t="s">
        <v>387</v>
      </c>
      <c r="H32" s="403"/>
      <c r="I32" s="403"/>
      <c r="J32" s="158"/>
      <c r="K32" s="158"/>
      <c r="L32" s="403" t="s">
        <v>388</v>
      </c>
      <c r="M32" s="403"/>
      <c r="N32" s="403"/>
      <c r="O32" s="158"/>
      <c r="P32" s="272"/>
      <c r="Q32" s="152"/>
      <c r="R32" s="161"/>
      <c r="S32" s="162"/>
      <c r="T32" s="152"/>
      <c r="U32" s="247"/>
      <c r="V32" s="247"/>
      <c r="W32" s="247"/>
      <c r="X32" s="247"/>
      <c r="Y32" s="247"/>
      <c r="Z32" s="247"/>
      <c r="AA32" s="247"/>
      <c r="AB32" s="247"/>
      <c r="AC32" s="247"/>
      <c r="AD32" s="247"/>
    </row>
    <row r="33" spans="1:30" s="43" customFormat="1" ht="27" thickTop="1">
      <c r="A33" s="158"/>
      <c r="B33" s="402"/>
      <c r="C33" s="402"/>
      <c r="D33" s="402"/>
      <c r="E33" s="402"/>
      <c r="F33" s="402"/>
      <c r="G33" s="402"/>
      <c r="H33" s="159"/>
      <c r="I33" s="158"/>
      <c r="J33" s="402"/>
      <c r="K33" s="402"/>
      <c r="L33" s="402"/>
      <c r="M33" s="158"/>
      <c r="N33" s="402"/>
      <c r="O33" s="402"/>
      <c r="P33" s="273"/>
      <c r="Q33" s="152"/>
      <c r="R33" s="152"/>
      <c r="S33" s="152"/>
      <c r="T33" s="152"/>
      <c r="U33" s="247"/>
      <c r="V33" s="247"/>
      <c r="W33" s="247"/>
      <c r="X33" s="247"/>
      <c r="Y33" s="247"/>
      <c r="Z33" s="247"/>
      <c r="AA33" s="247"/>
      <c r="AB33" s="247"/>
      <c r="AC33" s="247"/>
      <c r="AD33" s="247"/>
    </row>
    <row r="34" spans="1:30" s="43" customFormat="1" ht="31.5" customHeight="1">
      <c r="A34" s="158"/>
      <c r="B34" s="402"/>
      <c r="C34" s="402"/>
      <c r="D34" s="402"/>
      <c r="E34" s="402"/>
      <c r="F34" s="402"/>
      <c r="G34" s="402"/>
      <c r="H34" s="159"/>
      <c r="I34" s="158"/>
      <c r="J34" s="402"/>
      <c r="K34" s="402"/>
      <c r="L34" s="402"/>
      <c r="M34" s="158"/>
      <c r="N34" s="402"/>
      <c r="O34" s="402"/>
      <c r="P34" s="274"/>
      <c r="Q34" s="163"/>
      <c r="R34" s="163"/>
      <c r="S34" s="163"/>
      <c r="T34" s="163"/>
      <c r="U34" s="248"/>
      <c r="V34" s="249"/>
      <c r="W34" s="250"/>
      <c r="X34" s="250"/>
      <c r="Y34" s="250"/>
      <c r="Z34" s="249"/>
      <c r="AA34" s="249"/>
      <c r="AB34" s="251"/>
      <c r="AC34" s="251"/>
      <c r="AD34" s="251"/>
    </row>
    <row r="35" spans="1:30" s="43" customFormat="1" ht="31.5" customHeight="1">
      <c r="A35" s="158"/>
      <c r="B35" s="163"/>
      <c r="C35" s="163"/>
      <c r="D35" s="163"/>
      <c r="E35" s="163"/>
      <c r="F35" s="163"/>
      <c r="G35" s="163"/>
      <c r="H35" s="159"/>
      <c r="I35" s="158"/>
      <c r="J35" s="163"/>
      <c r="K35" s="163"/>
      <c r="L35" s="163"/>
      <c r="M35" s="158"/>
      <c r="N35" s="163"/>
      <c r="O35" s="163"/>
      <c r="P35" s="274"/>
      <c r="Q35" s="163"/>
      <c r="R35" s="163"/>
      <c r="S35" s="163"/>
      <c r="T35" s="163"/>
      <c r="U35" s="248"/>
      <c r="V35" s="249"/>
      <c r="W35" s="250"/>
      <c r="X35" s="250"/>
      <c r="Y35" s="250"/>
      <c r="Z35" s="249"/>
      <c r="AA35" s="249"/>
      <c r="AB35" s="251"/>
      <c r="AC35" s="251"/>
      <c r="AD35" s="251"/>
    </row>
    <row r="36" spans="1:30" s="43" customFormat="1" ht="31.5" customHeight="1">
      <c r="A36" s="158"/>
      <c r="B36" s="163"/>
      <c r="C36" s="163"/>
      <c r="D36" s="163"/>
      <c r="E36" s="163"/>
      <c r="F36" s="163"/>
      <c r="G36" s="163"/>
      <c r="H36" s="159"/>
      <c r="I36" s="158"/>
      <c r="J36" s="163"/>
      <c r="K36" s="163"/>
      <c r="L36" s="163"/>
      <c r="M36" s="158"/>
      <c r="N36" s="163"/>
      <c r="O36" s="163"/>
      <c r="P36" s="274"/>
      <c r="Q36" s="163"/>
      <c r="R36" s="163"/>
      <c r="S36" s="163"/>
      <c r="T36" s="163"/>
      <c r="U36" s="248"/>
      <c r="V36" s="249"/>
      <c r="W36" s="250"/>
      <c r="X36" s="250"/>
      <c r="Y36" s="250"/>
      <c r="Z36" s="249"/>
      <c r="AA36" s="249"/>
      <c r="AB36" s="251"/>
      <c r="AC36" s="251"/>
      <c r="AD36" s="251"/>
    </row>
    <row r="37" spans="1:30" s="43" customFormat="1" ht="31.5" customHeight="1">
      <c r="A37" s="158"/>
      <c r="B37" s="163"/>
      <c r="C37" s="163"/>
      <c r="D37" s="163"/>
      <c r="E37" s="163"/>
      <c r="F37" s="163"/>
      <c r="G37" s="163"/>
      <c r="H37" s="159"/>
      <c r="I37" s="158"/>
      <c r="J37" s="163"/>
      <c r="K37" s="163"/>
      <c r="L37" s="163"/>
      <c r="M37" s="158"/>
      <c r="N37" s="163"/>
      <c r="O37" s="163"/>
      <c r="P37" s="274"/>
      <c r="Q37" s="163"/>
      <c r="R37" s="163"/>
      <c r="S37" s="163"/>
      <c r="T37" s="163"/>
      <c r="U37" s="248"/>
      <c r="V37" s="249"/>
      <c r="W37" s="250"/>
      <c r="X37" s="250"/>
      <c r="Y37" s="250"/>
      <c r="Z37" s="249"/>
      <c r="AA37" s="249"/>
      <c r="AB37" s="251"/>
      <c r="AC37" s="251"/>
      <c r="AD37" s="251"/>
    </row>
  </sheetData>
  <mergeCells count="12">
    <mergeCell ref="A1:O1"/>
    <mergeCell ref="A2:O2"/>
    <mergeCell ref="A3:O3"/>
    <mergeCell ref="B34:G34"/>
    <mergeCell ref="J34:L34"/>
    <mergeCell ref="N34:O34"/>
    <mergeCell ref="B33:G33"/>
    <mergeCell ref="B32:D32"/>
    <mergeCell ref="G32:I32"/>
    <mergeCell ref="L32:N32"/>
    <mergeCell ref="J33:L33"/>
    <mergeCell ref="N33:O33"/>
  </mergeCells>
  <pageMargins left="0.59055118110236227" right="0.15748031496062992" top="0.15748031496062992" bottom="0" header="0" footer="0"/>
  <pageSetup paperSize="9" scale="63" orientation="landscape" r:id="rId1"/>
  <rowBreaks count="1" manualBreakCount="1">
    <brk id="32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rgb="FF00B050"/>
  </sheetPr>
  <dimension ref="A1:AV38"/>
  <sheetViews>
    <sheetView view="pageBreakPreview" topLeftCell="A4" zoomScale="80" zoomScaleNormal="110" zoomScaleSheetLayoutView="80" workbookViewId="0">
      <pane xSplit="1" ySplit="1" topLeftCell="B5" activePane="bottomRight" state="frozen"/>
      <selection activeCell="A4" sqref="A4"/>
      <selection pane="topRight" activeCell="B4" sqref="B4"/>
      <selection pane="bottomLeft" activeCell="A5" sqref="A5"/>
      <selection pane="bottomRight" activeCell="G33" sqref="G33"/>
    </sheetView>
  </sheetViews>
  <sheetFormatPr defaultRowHeight="15"/>
  <cols>
    <col min="1" max="1" width="24.375" style="164" customWidth="1"/>
    <col min="2" max="2" width="11.5" style="164" customWidth="1"/>
    <col min="3" max="3" width="12.875" style="164" customWidth="1"/>
    <col min="4" max="4" width="12.125" style="164" customWidth="1"/>
    <col min="5" max="5" width="14.25" style="164" customWidth="1"/>
    <col min="6" max="6" width="11.75" style="164" customWidth="1"/>
    <col min="7" max="7" width="14.25" style="164" customWidth="1"/>
    <col min="8" max="8" width="12" style="164" customWidth="1"/>
    <col min="9" max="9" width="10.25" style="164" customWidth="1"/>
    <col min="10" max="10" width="12" style="164" customWidth="1"/>
    <col min="11" max="11" width="10.375" style="164" customWidth="1"/>
    <col min="12" max="12" width="11" style="164" customWidth="1"/>
    <col min="13" max="13" width="12" style="164" customWidth="1"/>
    <col min="14" max="14" width="9.5" style="164" customWidth="1"/>
    <col min="15" max="15" width="10.75" style="164" customWidth="1"/>
    <col min="16" max="16" width="10.125" style="164" customWidth="1"/>
    <col min="17" max="17" width="11.375" style="164" customWidth="1"/>
    <col min="18" max="18" width="18.375" style="43" customWidth="1"/>
    <col min="19" max="19" width="16.375" style="43" customWidth="1"/>
    <col min="20" max="48" width="9" style="43"/>
    <col min="49" max="16384" width="9" style="1"/>
  </cols>
  <sheetData>
    <row r="1" spans="1:38" s="90" customFormat="1" ht="22.5">
      <c r="A1" s="404" t="s">
        <v>127</v>
      </c>
      <c r="B1" s="404"/>
      <c r="C1" s="404"/>
      <c r="D1" s="404"/>
      <c r="E1" s="404"/>
      <c r="F1" s="404"/>
      <c r="G1" s="404"/>
      <c r="H1" s="404"/>
      <c r="I1" s="404"/>
      <c r="J1" s="404"/>
      <c r="K1" s="404"/>
      <c r="L1" s="404"/>
      <c r="M1" s="404"/>
      <c r="N1" s="404"/>
      <c r="O1" s="404"/>
      <c r="P1" s="404"/>
      <c r="Q1" s="404"/>
    </row>
    <row r="2" spans="1:38" s="90" customFormat="1" ht="22.5">
      <c r="A2" s="404" t="s">
        <v>390</v>
      </c>
      <c r="B2" s="404"/>
      <c r="C2" s="404"/>
      <c r="D2" s="404"/>
      <c r="E2" s="404"/>
      <c r="F2" s="404"/>
      <c r="G2" s="404"/>
      <c r="H2" s="404"/>
      <c r="I2" s="404"/>
      <c r="J2" s="404"/>
      <c r="K2" s="404"/>
      <c r="L2" s="404"/>
      <c r="M2" s="404"/>
      <c r="N2" s="404"/>
      <c r="O2" s="404"/>
      <c r="P2" s="404"/>
      <c r="Q2" s="404"/>
    </row>
    <row r="3" spans="1:38" s="43" customFormat="1" ht="27" customHeight="1">
      <c r="A3" s="404" t="s">
        <v>389</v>
      </c>
      <c r="B3" s="404"/>
      <c r="C3" s="404"/>
      <c r="D3" s="404"/>
      <c r="E3" s="404"/>
      <c r="F3" s="404"/>
      <c r="G3" s="404"/>
      <c r="H3" s="404"/>
      <c r="I3" s="404"/>
      <c r="J3" s="404"/>
      <c r="K3" s="404"/>
      <c r="L3" s="404"/>
      <c r="M3" s="404"/>
      <c r="N3" s="404"/>
      <c r="O3" s="404"/>
      <c r="P3" s="404"/>
      <c r="Q3" s="404"/>
      <c r="X3" s="91"/>
      <c r="Y3" s="91"/>
      <c r="Z3" s="91"/>
      <c r="AA3" s="91"/>
      <c r="AB3" s="91"/>
      <c r="AC3" s="91"/>
      <c r="AD3" s="91"/>
      <c r="AE3" s="91"/>
      <c r="AF3" s="91"/>
      <c r="AG3" s="91"/>
      <c r="AH3" s="91"/>
      <c r="AI3" s="91"/>
      <c r="AJ3" s="91"/>
      <c r="AK3" s="91"/>
      <c r="AL3" s="91"/>
    </row>
    <row r="4" spans="1:38" s="301" customFormat="1" ht="89.25" customHeight="1">
      <c r="A4" s="297" t="s">
        <v>31</v>
      </c>
      <c r="B4" s="297" t="s">
        <v>49</v>
      </c>
      <c r="C4" s="298" t="s">
        <v>94</v>
      </c>
      <c r="D4" s="298" t="s">
        <v>95</v>
      </c>
      <c r="E4" s="298" t="s">
        <v>4</v>
      </c>
      <c r="F4" s="298" t="s">
        <v>391</v>
      </c>
      <c r="G4" s="298" t="s">
        <v>4</v>
      </c>
      <c r="H4" s="299" t="s">
        <v>96</v>
      </c>
      <c r="I4" s="300" t="s">
        <v>97</v>
      </c>
      <c r="J4" s="297" t="s">
        <v>50</v>
      </c>
      <c r="K4" s="297" t="s">
        <v>51</v>
      </c>
      <c r="L4" s="299" t="s">
        <v>98</v>
      </c>
      <c r="M4" s="299" t="s">
        <v>88</v>
      </c>
      <c r="N4" s="299" t="s">
        <v>99</v>
      </c>
      <c r="O4" s="299" t="s">
        <v>100</v>
      </c>
      <c r="P4" s="299" t="s">
        <v>52</v>
      </c>
      <c r="Q4" s="297" t="s">
        <v>53</v>
      </c>
      <c r="X4" s="302"/>
      <c r="Y4" s="302"/>
      <c r="Z4" s="302"/>
      <c r="AA4" s="302"/>
      <c r="AB4" s="302"/>
      <c r="AC4" s="302"/>
      <c r="AD4" s="302"/>
      <c r="AE4" s="302"/>
      <c r="AF4" s="302"/>
      <c r="AG4" s="302"/>
      <c r="AH4" s="302"/>
      <c r="AI4" s="302"/>
      <c r="AJ4" s="302"/>
      <c r="AK4" s="302"/>
      <c r="AL4" s="302"/>
    </row>
    <row r="5" spans="1:38" s="43" customFormat="1" ht="23.1" customHeight="1">
      <c r="A5" s="98" t="s">
        <v>54</v>
      </c>
      <c r="B5" s="99"/>
      <c r="C5" s="99"/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O5" s="99"/>
      <c r="P5" s="99"/>
      <c r="Q5" s="99"/>
      <c r="R5" s="100" t="s">
        <v>101</v>
      </c>
      <c r="S5" s="100" t="s">
        <v>102</v>
      </c>
      <c r="X5" s="91"/>
      <c r="Y5" s="91"/>
      <c r="Z5" s="91"/>
      <c r="AA5" s="91"/>
      <c r="AB5" s="91"/>
      <c r="AC5" s="91"/>
      <c r="AD5" s="91"/>
      <c r="AE5" s="91"/>
      <c r="AF5" s="91"/>
      <c r="AG5" s="91"/>
      <c r="AH5" s="91"/>
      <c r="AI5" s="91"/>
      <c r="AJ5" s="91"/>
      <c r="AK5" s="91"/>
      <c r="AL5" s="91"/>
    </row>
    <row r="6" spans="1:38" s="90" customFormat="1" ht="23.1" customHeight="1">
      <c r="A6" s="101" t="s">
        <v>53</v>
      </c>
      <c r="B6" s="102">
        <v>13065250</v>
      </c>
      <c r="C6" s="102">
        <f>H6+I6+J6+K6+L6+M6+N6+O6+P6+Q6</f>
        <v>11407734</v>
      </c>
      <c r="D6" s="102"/>
      <c r="E6" s="102">
        <f>SUM(C6:D6)</f>
        <v>11407734</v>
      </c>
      <c r="F6" s="102"/>
      <c r="G6" s="102">
        <f>E6+F6</f>
        <v>11407734</v>
      </c>
      <c r="H6" s="103"/>
      <c r="I6" s="103"/>
      <c r="J6" s="103"/>
      <c r="K6" s="103"/>
      <c r="L6" s="103"/>
      <c r="M6" s="103"/>
      <c r="N6" s="103"/>
      <c r="O6" s="103"/>
      <c r="P6" s="103"/>
      <c r="Q6" s="102">
        <v>11407734</v>
      </c>
      <c r="R6" s="104">
        <f>SUM(H6:Q6)</f>
        <v>11407734</v>
      </c>
      <c r="S6" s="105">
        <f>R6-G6</f>
        <v>0</v>
      </c>
      <c r="X6" s="106"/>
      <c r="Y6" s="106"/>
      <c r="Z6" s="106"/>
      <c r="AA6" s="106"/>
      <c r="AB6" s="106"/>
      <c r="AC6" s="106"/>
      <c r="AD6" s="106"/>
      <c r="AE6" s="106"/>
      <c r="AF6" s="106"/>
      <c r="AG6" s="106"/>
      <c r="AH6" s="106"/>
      <c r="AI6" s="106"/>
      <c r="AJ6" s="106"/>
      <c r="AK6" s="106"/>
      <c r="AL6" s="106"/>
    </row>
    <row r="7" spans="1:38" s="90" customFormat="1" ht="23.1" customHeight="1">
      <c r="A7" s="107" t="s">
        <v>55</v>
      </c>
      <c r="B7" s="102">
        <v>2902120</v>
      </c>
      <c r="C7" s="102">
        <f t="shared" ref="C7:C16" si="0">H7+I7+J7+K7+L7+M7+N7+O7+P7+Q7</f>
        <v>2739600</v>
      </c>
      <c r="D7" s="102"/>
      <c r="E7" s="102">
        <f>SUM(C7:D7)</f>
        <v>2739600</v>
      </c>
      <c r="F7" s="102"/>
      <c r="G7" s="102">
        <f t="shared" ref="G7:G18" si="1">E7+F7</f>
        <v>2739600</v>
      </c>
      <c r="H7" s="108">
        <f>2739600</f>
        <v>2739600</v>
      </c>
      <c r="I7" s="108"/>
      <c r="J7" s="108"/>
      <c r="K7" s="108"/>
      <c r="L7" s="108"/>
      <c r="M7" s="108"/>
      <c r="N7" s="108"/>
      <c r="O7" s="108"/>
      <c r="P7" s="108"/>
      <c r="Q7" s="108"/>
      <c r="R7" s="104">
        <f t="shared" ref="R7:R17" si="2">SUM(H7:Q7)</f>
        <v>2739600</v>
      </c>
      <c r="S7" s="105">
        <f t="shared" ref="S7:S18" si="3">R7-G7</f>
        <v>0</v>
      </c>
      <c r="X7" s="109"/>
      <c r="Y7" s="109"/>
      <c r="Z7" s="93"/>
      <c r="AA7" s="109"/>
      <c r="AB7" s="110"/>
      <c r="AC7" s="109"/>
      <c r="AD7" s="109"/>
      <c r="AE7" s="109"/>
      <c r="AF7" s="109"/>
      <c r="AG7" s="110"/>
      <c r="AH7" s="110"/>
      <c r="AI7" s="110"/>
      <c r="AJ7" s="109"/>
      <c r="AK7" s="109"/>
      <c r="AL7" s="109"/>
    </row>
    <row r="8" spans="1:38" s="90" customFormat="1" ht="23.1" customHeight="1">
      <c r="A8" s="101" t="s">
        <v>56</v>
      </c>
      <c r="B8" s="102">
        <v>11629641</v>
      </c>
      <c r="C8" s="102">
        <f t="shared" si="0"/>
        <v>8429386</v>
      </c>
      <c r="D8" s="102"/>
      <c r="E8" s="102">
        <f t="shared" ref="E8:E15" si="4">SUM(C8:D8)</f>
        <v>8429386</v>
      </c>
      <c r="F8" s="102"/>
      <c r="G8" s="102">
        <f t="shared" si="1"/>
        <v>8429386</v>
      </c>
      <c r="H8" s="108">
        <f>3265704+1562220</f>
        <v>4827924</v>
      </c>
      <c r="I8" s="111"/>
      <c r="J8" s="111">
        <f>2075628</f>
        <v>2075628</v>
      </c>
      <c r="K8" s="108"/>
      <c r="L8" s="108">
        <f>553440</f>
        <v>553440</v>
      </c>
      <c r="M8" s="108">
        <f>972394</f>
        <v>972394</v>
      </c>
      <c r="N8" s="108"/>
      <c r="O8" s="111"/>
      <c r="P8" s="108"/>
      <c r="Q8" s="108"/>
      <c r="R8" s="104">
        <f t="shared" si="2"/>
        <v>8429386</v>
      </c>
      <c r="S8" s="105">
        <f t="shared" si="3"/>
        <v>0</v>
      </c>
      <c r="X8" s="112"/>
      <c r="Y8" s="113"/>
      <c r="Z8" s="113"/>
      <c r="AA8" s="113"/>
      <c r="AB8" s="113"/>
      <c r="AC8" s="113"/>
      <c r="AD8" s="113"/>
      <c r="AE8" s="113"/>
      <c r="AF8" s="113"/>
      <c r="AG8" s="113"/>
      <c r="AH8" s="113"/>
      <c r="AI8" s="113"/>
      <c r="AJ8" s="113"/>
      <c r="AK8" s="113"/>
      <c r="AL8" s="113"/>
    </row>
    <row r="9" spans="1:38" s="90" customFormat="1" ht="23.1" customHeight="1">
      <c r="A9" s="107" t="s">
        <v>3</v>
      </c>
      <c r="B9" s="102">
        <v>1090000</v>
      </c>
      <c r="C9" s="102">
        <f t="shared" si="0"/>
        <v>835580.5</v>
      </c>
      <c r="D9" s="102"/>
      <c r="E9" s="102">
        <f t="shared" si="4"/>
        <v>835580.5</v>
      </c>
      <c r="F9" s="102"/>
      <c r="G9" s="102">
        <f t="shared" si="1"/>
        <v>835580.5</v>
      </c>
      <c r="H9" s="108">
        <f>501880+186461.5</f>
        <v>688341.5</v>
      </c>
      <c r="I9" s="111"/>
      <c r="J9" s="111">
        <f>8000</f>
        <v>8000</v>
      </c>
      <c r="K9" s="108"/>
      <c r="L9" s="108">
        <f>50649</f>
        <v>50649</v>
      </c>
      <c r="M9" s="108">
        <f>88590</f>
        <v>88590</v>
      </c>
      <c r="N9" s="108"/>
      <c r="O9" s="108"/>
      <c r="P9" s="108"/>
      <c r="Q9" s="108"/>
      <c r="R9" s="104">
        <f t="shared" si="2"/>
        <v>835580.5</v>
      </c>
      <c r="S9" s="105">
        <f t="shared" si="3"/>
        <v>0</v>
      </c>
      <c r="X9" s="107"/>
      <c r="Y9" s="114"/>
      <c r="Z9" s="114"/>
      <c r="AA9" s="115"/>
      <c r="AB9" s="115"/>
      <c r="AC9" s="115"/>
      <c r="AD9" s="115"/>
      <c r="AE9" s="115"/>
      <c r="AF9" s="115"/>
      <c r="AG9" s="115"/>
      <c r="AH9" s="115"/>
      <c r="AI9" s="115"/>
      <c r="AJ9" s="115"/>
      <c r="AK9" s="115"/>
      <c r="AL9" s="115"/>
    </row>
    <row r="10" spans="1:38" s="90" customFormat="1" ht="23.1" customHeight="1">
      <c r="A10" s="101" t="s">
        <v>57</v>
      </c>
      <c r="B10" s="102">
        <v>4531900</v>
      </c>
      <c r="C10" s="102">
        <f t="shared" si="0"/>
        <v>3746072.98</v>
      </c>
      <c r="D10" s="102"/>
      <c r="E10" s="102">
        <f t="shared" si="4"/>
        <v>3746072.98</v>
      </c>
      <c r="F10" s="102"/>
      <c r="G10" s="102">
        <f t="shared" si="1"/>
        <v>3746072.98</v>
      </c>
      <c r="H10" s="108">
        <f>1402991.98+138270</f>
        <v>1541261.98</v>
      </c>
      <c r="I10" s="111">
        <f>216650</f>
        <v>216650</v>
      </c>
      <c r="J10" s="111">
        <f>6518+850462</f>
        <v>856980</v>
      </c>
      <c r="K10" s="108"/>
      <c r="L10" s="108">
        <f>169000</f>
        <v>169000</v>
      </c>
      <c r="M10" s="108">
        <f>375238+411559</f>
        <v>786797</v>
      </c>
      <c r="N10" s="108">
        <f>15000</f>
        <v>15000</v>
      </c>
      <c r="O10" s="108">
        <f>125584+34800</f>
        <v>160384</v>
      </c>
      <c r="P10" s="108"/>
      <c r="Q10" s="108"/>
      <c r="R10" s="104">
        <f t="shared" si="2"/>
        <v>3746072.98</v>
      </c>
      <c r="S10" s="105">
        <f t="shared" si="3"/>
        <v>0</v>
      </c>
      <c r="X10" s="101"/>
      <c r="Y10" s="114"/>
      <c r="Z10" s="114"/>
      <c r="AA10" s="115"/>
      <c r="AB10" s="115"/>
      <c r="AC10" s="115"/>
      <c r="AD10" s="115"/>
      <c r="AE10" s="115"/>
      <c r="AF10" s="115"/>
      <c r="AG10" s="115"/>
      <c r="AH10" s="115"/>
      <c r="AI10" s="115"/>
      <c r="AJ10" s="115"/>
      <c r="AK10" s="115"/>
      <c r="AL10" s="115"/>
    </row>
    <row r="11" spans="1:38" s="90" customFormat="1" ht="23.1" customHeight="1">
      <c r="A11" s="101" t="s">
        <v>58</v>
      </c>
      <c r="B11" s="102">
        <v>2507989</v>
      </c>
      <c r="C11" s="102">
        <f t="shared" si="0"/>
        <v>2022413.02</v>
      </c>
      <c r="D11" s="102"/>
      <c r="E11" s="102">
        <f t="shared" si="4"/>
        <v>2022413.02</v>
      </c>
      <c r="F11" s="102"/>
      <c r="G11" s="102">
        <f t="shared" si="1"/>
        <v>2022413.02</v>
      </c>
      <c r="H11" s="108">
        <f>420406+98941</f>
        <v>519347</v>
      </c>
      <c r="I11" s="111"/>
      <c r="J11" s="116">
        <f>47347+987149.02</f>
        <v>1034496.02</v>
      </c>
      <c r="K11" s="108">
        <f>46500</f>
        <v>46500</v>
      </c>
      <c r="L11" s="108">
        <f>18371</f>
        <v>18371</v>
      </c>
      <c r="M11" s="108">
        <f>310815</f>
        <v>310815</v>
      </c>
      <c r="N11" s="108"/>
      <c r="O11" s="108">
        <f>69784</f>
        <v>69784</v>
      </c>
      <c r="P11" s="108">
        <f>23100</f>
        <v>23100</v>
      </c>
      <c r="Q11" s="108"/>
      <c r="R11" s="104">
        <f t="shared" si="2"/>
        <v>2022413.02</v>
      </c>
      <c r="S11" s="105">
        <f t="shared" si="3"/>
        <v>0</v>
      </c>
      <c r="X11" s="107"/>
      <c r="Y11" s="114"/>
      <c r="Z11" s="114"/>
      <c r="AA11" s="115"/>
      <c r="AB11" s="115"/>
      <c r="AC11" s="115"/>
      <c r="AD11" s="115"/>
      <c r="AE11" s="115"/>
      <c r="AF11" s="115"/>
      <c r="AG11" s="115"/>
      <c r="AH11" s="115"/>
      <c r="AI11" s="115"/>
      <c r="AJ11" s="115"/>
      <c r="AK11" s="115"/>
      <c r="AL11" s="115"/>
    </row>
    <row r="12" spans="1:38" s="90" customFormat="1" ht="23.1" customHeight="1">
      <c r="A12" s="107" t="s">
        <v>59</v>
      </c>
      <c r="B12" s="102">
        <v>592000</v>
      </c>
      <c r="C12" s="102">
        <f t="shared" si="0"/>
        <v>497168.95</v>
      </c>
      <c r="D12" s="102"/>
      <c r="E12" s="102">
        <f t="shared" si="4"/>
        <v>497168.95</v>
      </c>
      <c r="F12" s="102"/>
      <c r="G12" s="102">
        <f t="shared" si="1"/>
        <v>497168.95</v>
      </c>
      <c r="H12" s="108">
        <v>492381.93</v>
      </c>
      <c r="I12" s="111"/>
      <c r="J12" s="111">
        <f>4787.02</f>
        <v>4787.0200000000004</v>
      </c>
      <c r="K12" s="111"/>
      <c r="L12" s="108"/>
      <c r="M12" s="108"/>
      <c r="N12" s="108"/>
      <c r="O12" s="108"/>
      <c r="P12" s="108"/>
      <c r="Q12" s="108"/>
      <c r="R12" s="104">
        <f t="shared" si="2"/>
        <v>497168.95</v>
      </c>
      <c r="S12" s="105">
        <f t="shared" si="3"/>
        <v>0</v>
      </c>
      <c r="X12" s="101"/>
      <c r="Y12" s="114"/>
      <c r="Z12" s="114"/>
      <c r="AA12" s="115"/>
      <c r="AB12" s="115"/>
      <c r="AC12" s="115"/>
      <c r="AD12" s="115"/>
      <c r="AE12" s="115"/>
      <c r="AF12" s="115"/>
      <c r="AG12" s="115"/>
      <c r="AH12" s="115"/>
      <c r="AI12" s="115"/>
      <c r="AJ12" s="115"/>
      <c r="AK12" s="115"/>
      <c r="AL12" s="115"/>
    </row>
    <row r="13" spans="1:38" s="90" customFormat="1" ht="23.1" customHeight="1">
      <c r="A13" s="107" t="s">
        <v>103</v>
      </c>
      <c r="B13" s="102">
        <v>551700</v>
      </c>
      <c r="C13" s="102">
        <f t="shared" si="0"/>
        <v>420700</v>
      </c>
      <c r="D13" s="102"/>
      <c r="E13" s="102">
        <f t="shared" si="4"/>
        <v>420700</v>
      </c>
      <c r="F13" s="102"/>
      <c r="G13" s="102">
        <f t="shared" si="1"/>
        <v>420700</v>
      </c>
      <c r="H13" s="108">
        <v>71100</v>
      </c>
      <c r="I13" s="111"/>
      <c r="J13" s="111">
        <f>171400</f>
        <v>171400</v>
      </c>
      <c r="K13" s="108"/>
      <c r="L13" s="108"/>
      <c r="M13" s="108">
        <f>178200</f>
        <v>178200</v>
      </c>
      <c r="N13" s="108"/>
      <c r="O13" s="108"/>
      <c r="P13" s="108"/>
      <c r="Q13" s="108"/>
      <c r="R13" s="104">
        <f t="shared" si="2"/>
        <v>420700</v>
      </c>
      <c r="S13" s="105">
        <f t="shared" si="3"/>
        <v>0</v>
      </c>
      <c r="X13" s="101"/>
      <c r="Y13" s="114"/>
      <c r="Z13" s="114"/>
      <c r="AA13" s="115"/>
      <c r="AB13" s="115"/>
      <c r="AC13" s="117"/>
      <c r="AD13" s="115"/>
      <c r="AE13" s="115"/>
      <c r="AF13" s="115"/>
      <c r="AG13" s="115"/>
      <c r="AH13" s="115"/>
      <c r="AI13" s="115"/>
      <c r="AJ13" s="115"/>
      <c r="AK13" s="115"/>
      <c r="AL13" s="115"/>
    </row>
    <row r="14" spans="1:38" s="90" customFormat="1" ht="23.1" customHeight="1">
      <c r="A14" s="107" t="s">
        <v>412</v>
      </c>
      <c r="B14" s="102">
        <v>3775400</v>
      </c>
      <c r="C14" s="102">
        <f>H14+I14+J14+K14+L14+M14+N14+O14+P14+Q14-928150</f>
        <v>3716800</v>
      </c>
      <c r="E14" s="102">
        <f>SUM(C14:D14)</f>
        <v>3716800</v>
      </c>
      <c r="F14" s="102">
        <v>928150</v>
      </c>
      <c r="G14" s="102">
        <f t="shared" si="1"/>
        <v>4644950</v>
      </c>
      <c r="H14" s="108">
        <v>0</v>
      </c>
      <c r="I14" s="108"/>
      <c r="J14" s="111">
        <f>347800</f>
        <v>347800</v>
      </c>
      <c r="K14" s="108"/>
      <c r="L14" s="108"/>
      <c r="M14" s="108">
        <f>1254000+2115000+928150</f>
        <v>4297150</v>
      </c>
      <c r="N14" s="108"/>
      <c r="O14" s="108"/>
      <c r="P14" s="108"/>
      <c r="Q14" s="108"/>
      <c r="R14" s="104">
        <f t="shared" si="2"/>
        <v>4644950</v>
      </c>
      <c r="S14" s="105">
        <f t="shared" si="3"/>
        <v>0</v>
      </c>
      <c r="X14" s="107"/>
      <c r="Y14" s="114"/>
      <c r="Z14" s="114"/>
      <c r="AA14" s="115"/>
      <c r="AB14" s="115"/>
      <c r="AC14" s="115"/>
      <c r="AD14" s="115"/>
      <c r="AE14" s="115"/>
      <c r="AF14" s="115"/>
      <c r="AG14" s="115"/>
      <c r="AH14" s="115"/>
      <c r="AI14" s="115"/>
      <c r="AJ14" s="115"/>
      <c r="AK14" s="115"/>
      <c r="AL14" s="115"/>
    </row>
    <row r="15" spans="1:38" s="90" customFormat="1" ht="23.1" customHeight="1">
      <c r="A15" s="107" t="s">
        <v>60</v>
      </c>
      <c r="B15" s="102">
        <v>20000</v>
      </c>
      <c r="C15" s="102">
        <f t="shared" si="0"/>
        <v>10000</v>
      </c>
      <c r="D15" s="102"/>
      <c r="E15" s="102">
        <f t="shared" si="4"/>
        <v>10000</v>
      </c>
      <c r="F15" s="102"/>
      <c r="G15" s="102">
        <f t="shared" si="1"/>
        <v>10000</v>
      </c>
      <c r="H15" s="108">
        <v>10000</v>
      </c>
      <c r="I15" s="108"/>
      <c r="J15" s="111"/>
      <c r="K15" s="108"/>
      <c r="L15" s="108"/>
      <c r="M15" s="108"/>
      <c r="N15" s="108"/>
      <c r="O15" s="108"/>
      <c r="P15" s="108"/>
      <c r="Q15" s="108"/>
      <c r="R15" s="104">
        <f t="shared" si="2"/>
        <v>10000</v>
      </c>
      <c r="S15" s="105">
        <f t="shared" si="3"/>
        <v>0</v>
      </c>
      <c r="X15" s="107"/>
      <c r="Y15" s="114"/>
      <c r="Z15" s="114"/>
      <c r="AA15" s="115"/>
      <c r="AB15" s="115"/>
      <c r="AC15" s="115"/>
      <c r="AD15" s="115"/>
      <c r="AE15" s="115"/>
      <c r="AF15" s="115"/>
      <c r="AG15" s="115"/>
      <c r="AH15" s="115"/>
      <c r="AI15" s="115"/>
      <c r="AJ15" s="115"/>
      <c r="AK15" s="115"/>
      <c r="AL15" s="115"/>
    </row>
    <row r="16" spans="1:38" s="90" customFormat="1" ht="23.1" customHeight="1">
      <c r="A16" s="101" t="s">
        <v>61</v>
      </c>
      <c r="B16" s="102">
        <v>2537000</v>
      </c>
      <c r="C16" s="102">
        <f t="shared" si="0"/>
        <v>2417529.0299999998</v>
      </c>
      <c r="D16" s="102"/>
      <c r="E16" s="102">
        <f>SUM(C16:D16)</f>
        <v>2417529.0299999998</v>
      </c>
      <c r="F16" s="102"/>
      <c r="G16" s="102">
        <f t="shared" si="1"/>
        <v>2417529.0299999998</v>
      </c>
      <c r="H16" s="108">
        <f>50000+23000</f>
        <v>73000</v>
      </c>
      <c r="I16" s="108"/>
      <c r="J16" s="111">
        <f>1760000+50000</f>
        <v>1810000</v>
      </c>
      <c r="K16" s="108">
        <f>240000</f>
        <v>240000</v>
      </c>
      <c r="L16" s="108"/>
      <c r="M16" s="111">
        <f>254529.03</f>
        <v>254529.03</v>
      </c>
      <c r="N16" s="108"/>
      <c r="O16" s="108">
        <f>30000+10000</f>
        <v>40000</v>
      </c>
      <c r="P16" s="108"/>
      <c r="Q16" s="108"/>
      <c r="R16" s="104">
        <f t="shared" si="2"/>
        <v>2417529.0299999998</v>
      </c>
      <c r="S16" s="105">
        <f t="shared" si="3"/>
        <v>0</v>
      </c>
      <c r="X16" s="107"/>
      <c r="Y16" s="114"/>
      <c r="Z16" s="114"/>
      <c r="AA16" s="115"/>
      <c r="AB16" s="115"/>
      <c r="AC16" s="115"/>
      <c r="AD16" s="115"/>
      <c r="AE16" s="115"/>
      <c r="AF16" s="115"/>
      <c r="AG16" s="115"/>
      <c r="AH16" s="115"/>
      <c r="AI16" s="115"/>
      <c r="AJ16" s="115"/>
      <c r="AK16" s="115"/>
      <c r="AL16" s="115"/>
    </row>
    <row r="17" spans="1:38" s="90" customFormat="1" ht="23.1" customHeight="1">
      <c r="A17" s="129" t="s">
        <v>108</v>
      </c>
      <c r="B17" s="119"/>
      <c r="C17" s="102"/>
      <c r="D17" s="114"/>
      <c r="E17" s="102"/>
      <c r="F17" s="102"/>
      <c r="G17" s="102">
        <f t="shared" si="1"/>
        <v>0</v>
      </c>
      <c r="H17" s="120"/>
      <c r="I17" s="120"/>
      <c r="J17" s="120"/>
      <c r="K17" s="120"/>
      <c r="L17" s="120"/>
      <c r="M17" s="120"/>
      <c r="N17" s="120"/>
      <c r="O17" s="120"/>
      <c r="P17" s="120"/>
      <c r="Q17" s="120"/>
      <c r="R17" s="104">
        <f t="shared" si="2"/>
        <v>0</v>
      </c>
      <c r="S17" s="105">
        <f t="shared" si="3"/>
        <v>0</v>
      </c>
      <c r="X17" s="107"/>
      <c r="Y17" s="114"/>
      <c r="Z17" s="114"/>
      <c r="AA17" s="115"/>
      <c r="AB17" s="115"/>
      <c r="AC17" s="115"/>
      <c r="AD17" s="115"/>
      <c r="AE17" s="115"/>
      <c r="AF17" s="115"/>
      <c r="AG17" s="115"/>
      <c r="AH17" s="115"/>
      <c r="AI17" s="115"/>
      <c r="AJ17" s="115"/>
      <c r="AK17" s="115"/>
      <c r="AL17" s="115"/>
    </row>
    <row r="18" spans="1:38" s="90" customFormat="1" ht="23.1" customHeight="1" thickBot="1">
      <c r="A18" s="121" t="s">
        <v>62</v>
      </c>
      <c r="B18" s="122">
        <f>SUM(B5:B17)</f>
        <v>43203000</v>
      </c>
      <c r="C18" s="123">
        <f>SUM(C6:C17)</f>
        <v>36242984.480000004</v>
      </c>
      <c r="D18" s="224" t="s">
        <v>411</v>
      </c>
      <c r="E18" s="123">
        <f>SUM(C18:D18)</f>
        <v>36242984.480000004</v>
      </c>
      <c r="F18" s="123">
        <f>SUM(F14:F17)</f>
        <v>928150</v>
      </c>
      <c r="G18" s="123">
        <f t="shared" si="1"/>
        <v>37171134.480000004</v>
      </c>
      <c r="H18" s="124">
        <f>SUM(H7:H17)</f>
        <v>10962956.41</v>
      </c>
      <c r="I18" s="124">
        <f t="shared" ref="I18:P18" si="5">SUM(I7:I17)</f>
        <v>216650</v>
      </c>
      <c r="J18" s="124">
        <f t="shared" si="5"/>
        <v>6309091.04</v>
      </c>
      <c r="K18" s="124">
        <f t="shared" si="5"/>
        <v>286500</v>
      </c>
      <c r="L18" s="124">
        <f t="shared" si="5"/>
        <v>791460</v>
      </c>
      <c r="M18" s="124">
        <f t="shared" si="5"/>
        <v>6888475.0300000003</v>
      </c>
      <c r="N18" s="124">
        <f t="shared" si="5"/>
        <v>15000</v>
      </c>
      <c r="O18" s="124">
        <f t="shared" si="5"/>
        <v>270168</v>
      </c>
      <c r="P18" s="124">
        <f t="shared" si="5"/>
        <v>23100</v>
      </c>
      <c r="Q18" s="124">
        <f>SUM(Q6)</f>
        <v>11407734</v>
      </c>
      <c r="R18" s="104">
        <f>SUM(H18:Q18)</f>
        <v>37171134.480000004</v>
      </c>
      <c r="S18" s="105">
        <f t="shared" si="3"/>
        <v>0</v>
      </c>
      <c r="X18" s="101"/>
      <c r="Y18" s="114"/>
      <c r="Z18" s="114"/>
      <c r="AA18" s="115"/>
      <c r="AB18" s="115"/>
      <c r="AC18" s="115"/>
      <c r="AD18" s="115"/>
      <c r="AE18" s="115"/>
      <c r="AF18" s="115"/>
      <c r="AG18" s="115"/>
      <c r="AH18" s="115"/>
      <c r="AI18" s="115"/>
      <c r="AJ18" s="115"/>
      <c r="AK18" s="115"/>
      <c r="AL18" s="115"/>
    </row>
    <row r="19" spans="1:38" s="90" customFormat="1" ht="23.1" customHeight="1" thickTop="1">
      <c r="A19" s="125" t="s">
        <v>63</v>
      </c>
      <c r="B19" s="126"/>
      <c r="C19" s="126"/>
      <c r="D19" s="126"/>
      <c r="E19" s="126"/>
      <c r="F19" s="126"/>
      <c r="G19" s="126"/>
      <c r="H19" s="126"/>
      <c r="I19" s="126"/>
      <c r="J19" s="126"/>
      <c r="K19" s="126"/>
      <c r="L19" s="126"/>
      <c r="M19" s="126"/>
      <c r="N19" s="126"/>
      <c r="O19" s="126"/>
      <c r="P19" s="126"/>
      <c r="Q19" s="126"/>
      <c r="X19" s="118"/>
      <c r="Y19" s="127"/>
      <c r="Z19" s="114"/>
      <c r="AA19" s="128"/>
      <c r="AB19" s="128"/>
      <c r="AC19" s="128"/>
      <c r="AD19" s="128"/>
      <c r="AE19" s="128"/>
      <c r="AF19" s="128"/>
      <c r="AG19" s="128"/>
      <c r="AH19" s="128"/>
      <c r="AI19" s="128"/>
      <c r="AJ19" s="128"/>
      <c r="AK19" s="128"/>
      <c r="AL19" s="128"/>
    </row>
    <row r="20" spans="1:38" s="90" customFormat="1" ht="23.1" customHeight="1" thickBot="1">
      <c r="A20" s="129" t="s">
        <v>64</v>
      </c>
      <c r="B20" s="130">
        <v>491500</v>
      </c>
      <c r="C20" s="102">
        <v>580227.77</v>
      </c>
      <c r="D20" s="102"/>
      <c r="E20" s="102">
        <f>SUM(C20:D20)</f>
        <v>580227.77</v>
      </c>
      <c r="F20" s="102"/>
      <c r="G20" s="102"/>
      <c r="H20" s="102"/>
      <c r="I20" s="131"/>
      <c r="J20" s="131"/>
      <c r="K20" s="131"/>
      <c r="L20" s="131"/>
      <c r="M20" s="131"/>
      <c r="N20" s="131"/>
      <c r="O20" s="131"/>
      <c r="P20" s="131"/>
      <c r="Q20" s="131"/>
      <c r="X20" s="132"/>
      <c r="Y20" s="133"/>
      <c r="Z20" s="134"/>
      <c r="AA20" s="135"/>
      <c r="AB20" s="135"/>
      <c r="AC20" s="135"/>
      <c r="AD20" s="135"/>
      <c r="AE20" s="135"/>
      <c r="AF20" s="135"/>
      <c r="AG20" s="135"/>
      <c r="AH20" s="135"/>
      <c r="AI20" s="135"/>
      <c r="AJ20" s="135"/>
      <c r="AK20" s="135"/>
      <c r="AL20" s="135"/>
    </row>
    <row r="21" spans="1:38" s="90" customFormat="1" ht="23.1" customHeight="1" thickTop="1">
      <c r="A21" s="129" t="s">
        <v>106</v>
      </c>
      <c r="B21" s="102">
        <v>145500</v>
      </c>
      <c r="C21" s="102">
        <v>143986</v>
      </c>
      <c r="D21" s="102"/>
      <c r="E21" s="102">
        <f t="shared" ref="E21:E27" si="6">SUM(C21:D21)</f>
        <v>143986</v>
      </c>
      <c r="F21" s="102"/>
      <c r="G21" s="102"/>
      <c r="H21" s="102"/>
      <c r="I21" s="131"/>
      <c r="J21" s="131"/>
      <c r="K21" s="131"/>
      <c r="L21" s="131"/>
      <c r="M21" s="131"/>
      <c r="N21" s="131"/>
      <c r="O21" s="131"/>
      <c r="P21" s="131"/>
      <c r="Q21" s="131"/>
      <c r="X21" s="125"/>
      <c r="Y21" s="136"/>
      <c r="Z21" s="136"/>
      <c r="AA21" s="136"/>
      <c r="AB21" s="136"/>
      <c r="AC21" s="136"/>
      <c r="AD21" s="136"/>
      <c r="AE21" s="136"/>
      <c r="AF21" s="136"/>
      <c r="AG21" s="136"/>
      <c r="AH21" s="136"/>
      <c r="AI21" s="136"/>
      <c r="AJ21" s="136"/>
      <c r="AK21" s="136"/>
      <c r="AL21" s="136"/>
    </row>
    <row r="22" spans="1:38" s="90" customFormat="1" ht="23.1" customHeight="1">
      <c r="A22" s="129" t="s">
        <v>65</v>
      </c>
      <c r="B22" s="102">
        <v>200000</v>
      </c>
      <c r="C22" s="102">
        <v>153646.03</v>
      </c>
      <c r="D22" s="102"/>
      <c r="E22" s="102">
        <f t="shared" si="6"/>
        <v>153646.03</v>
      </c>
      <c r="F22" s="102"/>
      <c r="G22" s="102"/>
      <c r="H22" s="102"/>
      <c r="I22" s="131"/>
      <c r="J22" s="131"/>
      <c r="K22" s="131"/>
      <c r="L22" s="131"/>
      <c r="M22" s="131"/>
      <c r="N22" s="131"/>
      <c r="O22" s="131"/>
      <c r="P22" s="131"/>
      <c r="Q22" s="131"/>
      <c r="X22" s="129"/>
      <c r="Y22" s="137"/>
      <c r="Z22" s="114"/>
      <c r="AA22" s="114"/>
      <c r="AB22" s="129"/>
      <c r="AC22" s="129"/>
      <c r="AD22" s="129"/>
      <c r="AE22" s="129"/>
      <c r="AF22" s="129"/>
      <c r="AG22" s="129"/>
      <c r="AH22" s="129"/>
      <c r="AI22" s="129"/>
      <c r="AJ22" s="129"/>
      <c r="AK22" s="129"/>
      <c r="AL22" s="129"/>
    </row>
    <row r="23" spans="1:38" s="90" customFormat="1" ht="23.1" customHeight="1">
      <c r="A23" s="138" t="s">
        <v>107</v>
      </c>
      <c r="B23" s="102" t="s">
        <v>411</v>
      </c>
      <c r="C23" s="102" t="s">
        <v>411</v>
      </c>
      <c r="D23" s="102"/>
      <c r="E23" s="102" t="s">
        <v>411</v>
      </c>
      <c r="F23" s="102"/>
      <c r="G23" s="102"/>
      <c r="H23" s="102"/>
      <c r="I23" s="131"/>
      <c r="J23" s="131"/>
      <c r="K23" s="131"/>
      <c r="L23" s="131"/>
      <c r="M23" s="131"/>
      <c r="N23" s="131"/>
      <c r="O23" s="131"/>
      <c r="P23" s="131"/>
      <c r="Q23" s="131"/>
      <c r="X23" s="129"/>
      <c r="Y23" s="114"/>
      <c r="Z23" s="114"/>
      <c r="AA23" s="114"/>
      <c r="AB23" s="129"/>
      <c r="AC23" s="129"/>
      <c r="AD23" s="129"/>
      <c r="AE23" s="129"/>
      <c r="AF23" s="129"/>
      <c r="AG23" s="129"/>
      <c r="AH23" s="129"/>
      <c r="AI23" s="129"/>
      <c r="AJ23" s="129"/>
      <c r="AK23" s="129"/>
      <c r="AL23" s="129"/>
    </row>
    <row r="24" spans="1:38" s="90" customFormat="1" ht="23.1" customHeight="1">
      <c r="A24" s="129" t="s">
        <v>66</v>
      </c>
      <c r="B24" s="102">
        <v>365000</v>
      </c>
      <c r="C24" s="102">
        <v>126350</v>
      </c>
      <c r="D24" s="102"/>
      <c r="E24" s="102">
        <f t="shared" si="6"/>
        <v>126350</v>
      </c>
      <c r="F24" s="102"/>
      <c r="G24" s="102"/>
      <c r="H24" s="102"/>
      <c r="I24" s="131"/>
      <c r="J24" s="131"/>
      <c r="K24" s="131"/>
      <c r="L24" s="131"/>
      <c r="M24" s="131"/>
      <c r="N24" s="131"/>
      <c r="O24" s="131"/>
      <c r="P24" s="131"/>
      <c r="Q24" s="131"/>
      <c r="X24" s="129"/>
      <c r="Y24" s="114"/>
      <c r="Z24" s="114"/>
      <c r="AA24" s="114"/>
      <c r="AB24" s="129"/>
      <c r="AC24" s="129"/>
      <c r="AD24" s="129"/>
      <c r="AE24" s="129"/>
      <c r="AF24" s="129"/>
      <c r="AG24" s="129"/>
      <c r="AH24" s="129"/>
      <c r="AI24" s="129"/>
      <c r="AJ24" s="129"/>
      <c r="AK24" s="129"/>
      <c r="AL24" s="129"/>
    </row>
    <row r="25" spans="1:38" s="90" customFormat="1" ht="23.1" customHeight="1">
      <c r="A25" s="129" t="s">
        <v>91</v>
      </c>
      <c r="B25" s="102" t="s">
        <v>411</v>
      </c>
      <c r="C25" s="102" t="s">
        <v>411</v>
      </c>
      <c r="D25" s="102"/>
      <c r="E25" s="102" t="s">
        <v>105</v>
      </c>
      <c r="F25" s="102"/>
      <c r="G25" s="102"/>
      <c r="H25" s="102"/>
      <c r="I25" s="131"/>
      <c r="J25" s="131"/>
      <c r="K25" s="131"/>
      <c r="L25" s="131"/>
      <c r="M25" s="131"/>
      <c r="N25" s="131"/>
      <c r="O25" s="131"/>
      <c r="P25" s="131"/>
      <c r="Q25" s="131"/>
      <c r="X25" s="138"/>
      <c r="Y25" s="114"/>
      <c r="Z25" s="114"/>
      <c r="AA25" s="114"/>
      <c r="AB25" s="129"/>
      <c r="AC25" s="129"/>
      <c r="AD25" s="129"/>
      <c r="AE25" s="129"/>
      <c r="AF25" s="129"/>
      <c r="AG25" s="129"/>
      <c r="AH25" s="129"/>
      <c r="AI25" s="129"/>
      <c r="AJ25" s="129"/>
      <c r="AK25" s="129"/>
      <c r="AL25" s="129"/>
    </row>
    <row r="26" spans="1:38" s="90" customFormat="1" ht="23.1" customHeight="1">
      <c r="A26" s="129" t="s">
        <v>67</v>
      </c>
      <c r="B26" s="102">
        <v>18053000</v>
      </c>
      <c r="C26" s="102">
        <v>19407164.699999999</v>
      </c>
      <c r="D26" s="102"/>
      <c r="E26" s="102">
        <f t="shared" si="6"/>
        <v>19407164.699999999</v>
      </c>
      <c r="F26" s="102"/>
      <c r="G26" s="102"/>
      <c r="H26" s="102"/>
      <c r="I26" s="131"/>
      <c r="J26" s="131"/>
      <c r="K26" s="131"/>
      <c r="L26" s="131"/>
      <c r="M26" s="131"/>
      <c r="N26" s="131"/>
      <c r="O26" s="131"/>
      <c r="P26" s="131"/>
      <c r="Q26" s="131"/>
      <c r="X26" s="129"/>
      <c r="Y26" s="114"/>
      <c r="Z26" s="114"/>
      <c r="AA26" s="114"/>
      <c r="AB26" s="129"/>
      <c r="AC26" s="129"/>
      <c r="AD26" s="129"/>
      <c r="AE26" s="129"/>
      <c r="AF26" s="129"/>
      <c r="AG26" s="129"/>
      <c r="AH26" s="129"/>
      <c r="AI26" s="129"/>
      <c r="AJ26" s="129"/>
      <c r="AK26" s="129"/>
      <c r="AL26" s="129"/>
    </row>
    <row r="27" spans="1:38" s="90" customFormat="1" ht="23.1" customHeight="1">
      <c r="A27" s="129" t="s">
        <v>68</v>
      </c>
      <c r="B27" s="102">
        <v>23948000</v>
      </c>
      <c r="C27" s="102">
        <v>20167645</v>
      </c>
      <c r="D27" s="102"/>
      <c r="E27" s="102">
        <f t="shared" si="6"/>
        <v>20167645</v>
      </c>
      <c r="F27" s="102"/>
      <c r="G27" s="102"/>
      <c r="H27" s="102"/>
      <c r="I27" s="131"/>
      <c r="J27" s="131"/>
      <c r="K27" s="131"/>
      <c r="L27" s="131"/>
      <c r="M27" s="131"/>
      <c r="N27" s="131"/>
      <c r="O27" s="131"/>
      <c r="P27" s="131"/>
      <c r="Q27" s="131"/>
      <c r="X27" s="129"/>
      <c r="Y27" s="114"/>
      <c r="Z27" s="114"/>
      <c r="AA27" s="114"/>
      <c r="AB27" s="129"/>
      <c r="AC27" s="129"/>
      <c r="AD27" s="129"/>
      <c r="AE27" s="129"/>
      <c r="AF27" s="129"/>
      <c r="AG27" s="129"/>
      <c r="AH27" s="129"/>
      <c r="AI27" s="129"/>
      <c r="AJ27" s="129"/>
      <c r="AK27" s="129"/>
      <c r="AL27" s="129"/>
    </row>
    <row r="28" spans="1:38" s="90" customFormat="1" ht="23.1" customHeight="1">
      <c r="A28" s="129" t="s">
        <v>108</v>
      </c>
      <c r="B28" s="102"/>
      <c r="C28" s="102"/>
      <c r="D28" s="102"/>
      <c r="E28" s="102"/>
      <c r="F28" s="102"/>
      <c r="G28" s="102"/>
      <c r="H28" s="102"/>
      <c r="I28" s="131"/>
      <c r="J28" s="131"/>
      <c r="K28" s="131"/>
      <c r="L28" s="131"/>
      <c r="M28" s="131"/>
      <c r="N28" s="131"/>
      <c r="O28" s="131"/>
      <c r="P28" s="131"/>
      <c r="Q28" s="131"/>
      <c r="X28" s="129"/>
      <c r="Y28" s="114"/>
      <c r="Z28" s="114"/>
      <c r="AA28" s="114"/>
      <c r="AB28" s="129"/>
      <c r="AC28" s="129"/>
      <c r="AD28" s="129"/>
      <c r="AE28" s="129"/>
      <c r="AF28" s="129"/>
      <c r="AG28" s="129"/>
      <c r="AH28" s="129"/>
      <c r="AI28" s="129"/>
      <c r="AJ28" s="129"/>
      <c r="AK28" s="129"/>
      <c r="AL28" s="129"/>
    </row>
    <row r="29" spans="1:38" s="90" customFormat="1" ht="23.1" customHeight="1">
      <c r="A29" s="138"/>
      <c r="B29" s="102"/>
      <c r="C29" s="102"/>
      <c r="D29" s="139"/>
      <c r="E29" s="140"/>
      <c r="F29" s="140"/>
      <c r="G29" s="140"/>
      <c r="H29" s="119"/>
      <c r="I29" s="141"/>
      <c r="J29" s="141"/>
      <c r="K29" s="141"/>
      <c r="L29" s="141"/>
      <c r="M29" s="141"/>
      <c r="N29" s="141"/>
      <c r="O29" s="141"/>
      <c r="P29" s="141"/>
      <c r="Q29" s="141"/>
      <c r="X29" s="129"/>
      <c r="Y29" s="114"/>
      <c r="Z29" s="114"/>
      <c r="AA29" s="114"/>
      <c r="AB29" s="129"/>
      <c r="AC29" s="129"/>
      <c r="AD29" s="129"/>
      <c r="AE29" s="129"/>
      <c r="AF29" s="129"/>
      <c r="AG29" s="129"/>
      <c r="AH29" s="129"/>
      <c r="AI29" s="129"/>
      <c r="AJ29" s="129"/>
      <c r="AK29" s="129"/>
      <c r="AL29" s="129"/>
    </row>
    <row r="30" spans="1:38" s="90" customFormat="1" ht="23.1" customHeight="1" thickBot="1">
      <c r="A30" s="121" t="s">
        <v>69</v>
      </c>
      <c r="B30" s="123">
        <f>SUM(B20:B28)</f>
        <v>43203000</v>
      </c>
      <c r="C30" s="123">
        <f>SUM(C20:C29)</f>
        <v>40579019.5</v>
      </c>
      <c r="D30" s="123" t="s">
        <v>411</v>
      </c>
      <c r="E30" s="142">
        <f>SUM(C30:D30)</f>
        <v>40579019.5</v>
      </c>
      <c r="F30" s="142"/>
      <c r="G30" s="142"/>
      <c r="H30" s="142"/>
      <c r="I30" s="143"/>
      <c r="J30" s="143"/>
      <c r="K30" s="143"/>
      <c r="L30" s="143"/>
      <c r="M30" s="143"/>
      <c r="N30" s="143"/>
      <c r="O30" s="143"/>
      <c r="P30" s="143"/>
      <c r="Q30" s="143"/>
      <c r="X30" s="138"/>
      <c r="Y30" s="114"/>
      <c r="Z30" s="114"/>
      <c r="AA30" s="114"/>
      <c r="AB30" s="129"/>
      <c r="AC30" s="129"/>
      <c r="AD30" s="129"/>
      <c r="AE30" s="129"/>
      <c r="AF30" s="129"/>
      <c r="AG30" s="129"/>
      <c r="AH30" s="129"/>
      <c r="AI30" s="129"/>
      <c r="AJ30" s="129"/>
      <c r="AK30" s="129"/>
      <c r="AL30" s="129"/>
    </row>
    <row r="31" spans="1:38" s="90" customFormat="1" ht="23.1" customHeight="1" thickTop="1" thickBot="1">
      <c r="A31" s="144" t="s">
        <v>112</v>
      </c>
      <c r="B31" s="145"/>
      <c r="C31" s="146"/>
      <c r="D31" s="146"/>
      <c r="E31" s="147">
        <f>E30-E18</f>
        <v>4336035.0199999958</v>
      </c>
      <c r="F31" s="296"/>
      <c r="G31" s="296"/>
      <c r="H31" s="148"/>
      <c r="I31" s="145"/>
      <c r="J31" s="145"/>
      <c r="K31" s="145"/>
      <c r="L31" s="145"/>
      <c r="M31" s="145"/>
      <c r="N31" s="145"/>
      <c r="O31" s="145"/>
      <c r="P31" s="145"/>
      <c r="Q31" s="145"/>
      <c r="X31" s="149"/>
      <c r="Y31" s="127"/>
      <c r="Z31" s="150"/>
      <c r="AA31" s="127"/>
      <c r="AB31" s="151"/>
      <c r="AC31" s="151"/>
      <c r="AD31" s="151"/>
      <c r="AE31" s="151"/>
      <c r="AF31" s="151"/>
      <c r="AG31" s="151"/>
      <c r="AH31" s="151"/>
      <c r="AI31" s="151"/>
      <c r="AJ31" s="151"/>
      <c r="AK31" s="151"/>
      <c r="AL31" s="151"/>
    </row>
    <row r="32" spans="1:38" s="43" customFormat="1" ht="22.5" thickTop="1" thickBot="1">
      <c r="A32" s="152"/>
      <c r="B32" s="152" t="s">
        <v>385</v>
      </c>
      <c r="C32" s="152"/>
      <c r="D32" s="152"/>
      <c r="E32" s="152"/>
      <c r="F32" s="152"/>
      <c r="G32" s="152"/>
      <c r="H32" s="405" t="s">
        <v>385</v>
      </c>
      <c r="I32" s="405"/>
      <c r="J32" s="152"/>
      <c r="K32" s="152"/>
      <c r="L32" s="152"/>
      <c r="M32" s="152"/>
      <c r="N32" s="152" t="s">
        <v>385</v>
      </c>
      <c r="O32" s="152"/>
      <c r="P32" s="152"/>
      <c r="Q32" s="152"/>
      <c r="X32" s="153"/>
      <c r="Y32" s="154"/>
      <c r="Z32" s="155"/>
      <c r="AA32" s="156"/>
      <c r="AB32" s="157"/>
      <c r="AC32" s="157"/>
      <c r="AD32" s="157"/>
      <c r="AE32" s="157"/>
      <c r="AF32" s="157"/>
      <c r="AG32" s="157"/>
      <c r="AH32" s="157"/>
      <c r="AI32" s="157"/>
      <c r="AJ32" s="157"/>
      <c r="AK32" s="157"/>
      <c r="AL32" s="157"/>
    </row>
    <row r="33" spans="1:38" s="43" customFormat="1" ht="69" customHeight="1" thickTop="1" thickBot="1">
      <c r="A33" s="158"/>
      <c r="B33" s="403" t="s">
        <v>386</v>
      </c>
      <c r="C33" s="403"/>
      <c r="D33" s="403"/>
      <c r="E33" s="158"/>
      <c r="F33" s="158"/>
      <c r="G33" s="158"/>
      <c r="H33" s="403" t="s">
        <v>418</v>
      </c>
      <c r="I33" s="403"/>
      <c r="J33" s="403"/>
      <c r="K33" s="403"/>
      <c r="L33" s="158"/>
      <c r="M33" s="158"/>
      <c r="N33" s="403" t="s">
        <v>419</v>
      </c>
      <c r="O33" s="403"/>
      <c r="P33" s="403"/>
      <c r="Q33" s="403"/>
      <c r="X33" s="160"/>
      <c r="Y33" s="152"/>
      <c r="Z33" s="161"/>
      <c r="AA33" s="162"/>
      <c r="AB33" s="152"/>
      <c r="AC33" s="152"/>
      <c r="AD33" s="152"/>
      <c r="AE33" s="152"/>
      <c r="AF33" s="152"/>
      <c r="AG33" s="152"/>
      <c r="AH33" s="152"/>
      <c r="AI33" s="152"/>
      <c r="AJ33" s="152"/>
      <c r="AK33" s="152"/>
      <c r="AL33" s="152"/>
    </row>
    <row r="34" spans="1:38" s="43" customFormat="1" ht="27" thickTop="1">
      <c r="A34" s="158"/>
      <c r="B34" s="402"/>
      <c r="C34" s="402"/>
      <c r="D34" s="402"/>
      <c r="E34" s="402"/>
      <c r="F34" s="402"/>
      <c r="G34" s="402"/>
      <c r="H34" s="402"/>
      <c r="I34" s="402"/>
      <c r="J34" s="159"/>
      <c r="K34" s="158"/>
      <c r="L34" s="402"/>
      <c r="M34" s="402"/>
      <c r="N34" s="402"/>
      <c r="O34" s="158"/>
      <c r="P34" s="402"/>
      <c r="Q34" s="402"/>
      <c r="X34" s="152"/>
      <c r="Y34" s="152"/>
      <c r="Z34" s="152"/>
      <c r="AA34" s="152"/>
      <c r="AB34" s="152"/>
      <c r="AC34" s="152"/>
      <c r="AD34" s="152"/>
      <c r="AE34" s="152"/>
      <c r="AF34" s="152"/>
      <c r="AG34" s="152"/>
      <c r="AH34" s="152"/>
      <c r="AI34" s="152"/>
      <c r="AJ34" s="152"/>
      <c r="AK34" s="152"/>
      <c r="AL34" s="152"/>
    </row>
    <row r="35" spans="1:38" s="43" customFormat="1" ht="31.5" customHeight="1">
      <c r="A35" s="158"/>
      <c r="B35" s="402"/>
      <c r="C35" s="402"/>
      <c r="D35" s="402"/>
      <c r="E35" s="402"/>
      <c r="F35" s="402"/>
      <c r="G35" s="402"/>
      <c r="H35" s="402"/>
      <c r="I35" s="402"/>
      <c r="J35" s="159"/>
      <c r="K35" s="158"/>
      <c r="L35" s="402"/>
      <c r="M35" s="402"/>
      <c r="N35" s="402"/>
      <c r="O35" s="158"/>
      <c r="P35" s="402"/>
      <c r="Q35" s="402"/>
      <c r="X35" s="158"/>
      <c r="Y35" s="218"/>
      <c r="Z35" s="218"/>
      <c r="AA35" s="218"/>
      <c r="AB35" s="218"/>
      <c r="AC35" s="159"/>
      <c r="AD35" s="158"/>
      <c r="AE35" s="219"/>
      <c r="AF35" s="219"/>
      <c r="AG35" s="219"/>
      <c r="AH35" s="158"/>
      <c r="AI35" s="158"/>
      <c r="AJ35" s="218"/>
      <c r="AK35" s="218"/>
      <c r="AL35" s="218"/>
    </row>
    <row r="36" spans="1:38" s="43" customFormat="1" ht="31.5" customHeight="1">
      <c r="A36" s="158"/>
      <c r="B36" s="218"/>
      <c r="C36" s="218"/>
      <c r="D36" s="218"/>
      <c r="E36" s="218"/>
      <c r="F36" s="223"/>
      <c r="G36" s="223"/>
      <c r="H36" s="218"/>
      <c r="I36" s="218"/>
      <c r="J36" s="159"/>
      <c r="K36" s="158"/>
      <c r="L36" s="218"/>
      <c r="M36" s="218"/>
      <c r="N36" s="218"/>
      <c r="O36" s="158"/>
      <c r="P36" s="218"/>
      <c r="Q36" s="218"/>
      <c r="X36" s="158"/>
      <c r="Y36" s="218"/>
      <c r="Z36" s="218"/>
      <c r="AA36" s="218"/>
      <c r="AB36" s="218"/>
      <c r="AC36" s="159"/>
      <c r="AD36" s="158"/>
      <c r="AE36" s="219"/>
      <c r="AF36" s="219"/>
      <c r="AG36" s="219"/>
      <c r="AH36" s="158"/>
      <c r="AI36" s="158"/>
      <c r="AJ36" s="218"/>
      <c r="AK36" s="218"/>
      <c r="AL36" s="218"/>
    </row>
    <row r="37" spans="1:38" s="43" customFormat="1" ht="31.5" customHeight="1">
      <c r="A37" s="158"/>
      <c r="B37" s="218"/>
      <c r="C37" s="218"/>
      <c r="D37" s="218"/>
      <c r="E37" s="218"/>
      <c r="F37" s="223"/>
      <c r="G37" s="223"/>
      <c r="H37" s="218"/>
      <c r="I37" s="218"/>
      <c r="J37" s="159"/>
      <c r="K37" s="158"/>
      <c r="L37" s="218"/>
      <c r="M37" s="218"/>
      <c r="N37" s="218"/>
      <c r="O37" s="158"/>
      <c r="P37" s="218"/>
      <c r="Q37" s="218"/>
      <c r="X37" s="158"/>
      <c r="Y37" s="218"/>
      <c r="Z37" s="218"/>
      <c r="AA37" s="218"/>
      <c r="AB37" s="218"/>
      <c r="AC37" s="159"/>
      <c r="AD37" s="158"/>
      <c r="AE37" s="219"/>
      <c r="AF37" s="219"/>
      <c r="AG37" s="219"/>
      <c r="AH37" s="158"/>
      <c r="AI37" s="158"/>
      <c r="AJ37" s="218"/>
      <c r="AK37" s="218"/>
      <c r="AL37" s="218"/>
    </row>
    <row r="38" spans="1:38" s="43" customFormat="1" ht="31.5" customHeight="1">
      <c r="A38" s="158"/>
      <c r="B38" s="218"/>
      <c r="C38" s="218"/>
      <c r="D38" s="218"/>
      <c r="E38" s="218"/>
      <c r="F38" s="223"/>
      <c r="G38" s="223"/>
      <c r="H38" s="218"/>
      <c r="I38" s="218"/>
      <c r="J38" s="159"/>
      <c r="K38" s="158"/>
      <c r="L38" s="218"/>
      <c r="M38" s="218"/>
      <c r="N38" s="218"/>
      <c r="O38" s="158"/>
      <c r="P38" s="218"/>
      <c r="Q38" s="218"/>
      <c r="X38" s="158"/>
      <c r="Y38" s="218"/>
      <c r="Z38" s="218"/>
      <c r="AA38" s="218"/>
      <c r="AB38" s="218"/>
      <c r="AC38" s="159"/>
      <c r="AD38" s="158"/>
      <c r="AE38" s="219"/>
      <c r="AF38" s="219"/>
      <c r="AG38" s="219"/>
      <c r="AH38" s="158"/>
      <c r="AI38" s="158"/>
      <c r="AJ38" s="218"/>
      <c r="AK38" s="218"/>
      <c r="AL38" s="218"/>
    </row>
  </sheetData>
  <mergeCells count="13">
    <mergeCell ref="A1:Q1"/>
    <mergeCell ref="A2:Q2"/>
    <mergeCell ref="A3:Q3"/>
    <mergeCell ref="B33:D33"/>
    <mergeCell ref="N33:Q33"/>
    <mergeCell ref="H33:K33"/>
    <mergeCell ref="H32:I32"/>
    <mergeCell ref="B34:I34"/>
    <mergeCell ref="L34:N34"/>
    <mergeCell ref="P34:Q34"/>
    <mergeCell ref="B35:I35"/>
    <mergeCell ref="L35:N35"/>
    <mergeCell ref="P35:Q35"/>
  </mergeCells>
  <pageMargins left="0.39370078740157483" right="0.15748031496062992" top="0.15748031496062992" bottom="0" header="0" footer="0"/>
  <pageSetup paperSize="9" scale="63" orientation="landscape" r:id="rId1"/>
  <rowBreaks count="1" manualBreakCount="1">
    <brk id="33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rgb="FF00B050"/>
  </sheetPr>
  <dimension ref="A1:H22"/>
  <sheetViews>
    <sheetView view="pageBreakPreview" zoomScaleSheetLayoutView="100" workbookViewId="0">
      <selection activeCell="D16" sqref="D16"/>
    </sheetView>
  </sheetViews>
  <sheetFormatPr defaultRowHeight="22.5" customHeight="1"/>
  <cols>
    <col min="1" max="1" width="3.75" style="2" customWidth="1"/>
    <col min="2" max="5" width="9" style="2"/>
    <col min="6" max="6" width="25.875" style="15" customWidth="1"/>
    <col min="7" max="7" width="13.125" style="2" customWidth="1"/>
    <col min="8" max="8" width="2.875" style="2" customWidth="1"/>
    <col min="9" max="11" width="9" style="2"/>
    <col min="12" max="12" width="17.625" style="2" customWidth="1"/>
    <col min="13" max="13" width="20.25" style="2" customWidth="1"/>
    <col min="14" max="16384" width="9" style="2"/>
  </cols>
  <sheetData>
    <row r="1" spans="1:8" ht="22.5" customHeight="1">
      <c r="A1" s="373" t="s">
        <v>127</v>
      </c>
      <c r="B1" s="373"/>
      <c r="C1" s="373"/>
      <c r="D1" s="373"/>
      <c r="E1" s="373"/>
      <c r="F1" s="373"/>
      <c r="G1" s="373"/>
    </row>
    <row r="2" spans="1:8" ht="22.5" customHeight="1">
      <c r="A2" s="373" t="s">
        <v>113</v>
      </c>
      <c r="B2" s="373"/>
      <c r="C2" s="373"/>
      <c r="D2" s="373"/>
      <c r="E2" s="373"/>
      <c r="F2" s="373"/>
      <c r="G2" s="373"/>
      <c r="H2" s="4"/>
    </row>
    <row r="3" spans="1:8" ht="22.5" customHeight="1">
      <c r="A3" s="13"/>
      <c r="B3" s="13" t="s">
        <v>114</v>
      </c>
      <c r="C3" s="13"/>
    </row>
    <row r="4" spans="1:8" ht="24" customHeight="1">
      <c r="A4" s="165"/>
      <c r="B4" s="406" t="s">
        <v>235</v>
      </c>
      <c r="C4" s="406"/>
      <c r="D4" s="406"/>
      <c r="E4" s="406"/>
      <c r="F4" s="406"/>
      <c r="G4" s="178">
        <v>15400</v>
      </c>
      <c r="H4" s="6"/>
    </row>
    <row r="5" spans="1:8" ht="22.5" customHeight="1">
      <c r="A5" s="6"/>
      <c r="B5" s="166" t="s">
        <v>236</v>
      </c>
      <c r="C5" s="6"/>
      <c r="D5" s="6"/>
      <c r="E5" s="6"/>
      <c r="F5" s="167"/>
      <c r="G5" s="168">
        <v>15300</v>
      </c>
      <c r="H5" s="6"/>
    </row>
    <row r="6" spans="1:8" ht="22.5" customHeight="1">
      <c r="A6" s="6"/>
      <c r="B6" s="166" t="s">
        <v>237</v>
      </c>
      <c r="C6" s="6"/>
      <c r="D6" s="6"/>
      <c r="E6" s="6"/>
      <c r="F6" s="167"/>
      <c r="G6" s="168">
        <v>93500</v>
      </c>
      <c r="H6" s="6"/>
    </row>
    <row r="7" spans="1:8" ht="22.5" customHeight="1">
      <c r="A7" s="6"/>
      <c r="B7" s="166" t="s">
        <v>238</v>
      </c>
      <c r="C7" s="6"/>
      <c r="D7" s="6"/>
      <c r="E7" s="6"/>
      <c r="F7" s="167"/>
      <c r="G7" s="168">
        <v>88000</v>
      </c>
      <c r="H7" s="6"/>
    </row>
    <row r="8" spans="1:8" ht="22.5" customHeight="1">
      <c r="A8" s="6"/>
      <c r="B8" s="166" t="s">
        <v>239</v>
      </c>
      <c r="C8" s="6"/>
      <c r="D8" s="6"/>
      <c r="E8" s="6"/>
      <c r="F8" s="167"/>
      <c r="G8" s="168">
        <v>50000</v>
      </c>
      <c r="H8" s="6"/>
    </row>
    <row r="9" spans="1:8" ht="22.5" customHeight="1">
      <c r="A9" s="6"/>
      <c r="B9" s="166" t="s">
        <v>240</v>
      </c>
      <c r="C9" s="6"/>
      <c r="D9" s="6"/>
      <c r="E9" s="6"/>
      <c r="F9" s="167"/>
      <c r="G9" s="168">
        <v>20900</v>
      </c>
      <c r="H9" s="6"/>
    </row>
    <row r="10" spans="1:8" ht="22.5" customHeight="1">
      <c r="A10" s="6"/>
      <c r="B10" s="166" t="s">
        <v>241</v>
      </c>
      <c r="C10" s="6"/>
      <c r="D10" s="6"/>
      <c r="E10" s="6"/>
      <c r="F10" s="167"/>
      <c r="G10" s="168">
        <v>21900</v>
      </c>
      <c r="H10" s="6"/>
    </row>
    <row r="11" spans="1:8" ht="21" customHeight="1">
      <c r="A11" s="6"/>
      <c r="B11" s="166" t="s">
        <v>242</v>
      </c>
      <c r="C11" s="6"/>
      <c r="D11" s="6"/>
      <c r="E11" s="6"/>
      <c r="F11" s="167"/>
      <c r="G11" s="178">
        <v>4300</v>
      </c>
      <c r="H11" s="6"/>
    </row>
    <row r="12" spans="1:8" ht="22.5" customHeight="1">
      <c r="A12" s="6"/>
      <c r="B12" s="166" t="s">
        <v>243</v>
      </c>
      <c r="C12" s="6"/>
      <c r="D12" s="6"/>
      <c r="E12" s="6"/>
      <c r="F12" s="167"/>
      <c r="G12" s="168">
        <v>15000</v>
      </c>
      <c r="H12" s="6"/>
    </row>
    <row r="13" spans="1:8" ht="22.5" customHeight="1">
      <c r="A13" s="6"/>
      <c r="B13" s="166" t="s">
        <v>244</v>
      </c>
      <c r="C13" s="6"/>
      <c r="D13" s="6"/>
      <c r="E13" s="6"/>
      <c r="F13" s="167"/>
      <c r="G13" s="169">
        <v>28000</v>
      </c>
      <c r="H13" s="6"/>
    </row>
    <row r="14" spans="1:8" ht="21.75" customHeight="1">
      <c r="A14" s="6"/>
      <c r="B14" s="166" t="s">
        <v>245</v>
      </c>
      <c r="C14" s="6"/>
      <c r="D14" s="6"/>
      <c r="E14" s="6"/>
      <c r="F14" s="167"/>
      <c r="G14" s="179">
        <v>10000</v>
      </c>
      <c r="H14" s="6"/>
    </row>
    <row r="15" spans="1:8" ht="22.5" customHeight="1">
      <c r="A15" s="6"/>
      <c r="B15" s="166" t="s">
        <v>246</v>
      </c>
      <c r="C15" s="6"/>
      <c r="D15" s="6"/>
      <c r="E15" s="6"/>
      <c r="F15" s="167"/>
      <c r="G15" s="168">
        <v>12000</v>
      </c>
      <c r="H15" s="6"/>
    </row>
    <row r="16" spans="1:8" ht="21.75" customHeight="1">
      <c r="A16" s="6"/>
      <c r="B16" s="166" t="s">
        <v>247</v>
      </c>
      <c r="C16" s="6"/>
      <c r="D16" s="6"/>
      <c r="E16" s="6"/>
      <c r="F16" s="167"/>
      <c r="G16" s="178">
        <v>10000</v>
      </c>
      <c r="H16" s="6"/>
    </row>
    <row r="17" spans="1:8" ht="22.5" customHeight="1">
      <c r="A17" s="6"/>
      <c r="B17" s="166" t="s">
        <v>248</v>
      </c>
      <c r="C17" s="6"/>
      <c r="D17" s="6"/>
      <c r="E17" s="6"/>
      <c r="F17" s="167"/>
      <c r="G17" s="168">
        <v>3000</v>
      </c>
      <c r="H17" s="6"/>
    </row>
    <row r="18" spans="1:8" ht="22.5" customHeight="1">
      <c r="A18" s="6"/>
      <c r="B18" s="166" t="s">
        <v>249</v>
      </c>
      <c r="C18" s="6"/>
      <c r="D18" s="6"/>
      <c r="E18" s="6"/>
      <c r="F18" s="167"/>
      <c r="G18" s="169">
        <v>9900</v>
      </c>
      <c r="H18" s="6"/>
    </row>
    <row r="19" spans="1:8" ht="22.5" customHeight="1">
      <c r="A19" s="6"/>
      <c r="B19" s="166" t="s">
        <v>250</v>
      </c>
      <c r="C19" s="6"/>
      <c r="D19" s="6"/>
      <c r="E19" s="6"/>
      <c r="F19" s="167"/>
      <c r="G19" s="169">
        <v>14000</v>
      </c>
      <c r="H19" s="6"/>
    </row>
    <row r="20" spans="1:8" ht="22.5" customHeight="1">
      <c r="A20" s="6"/>
      <c r="B20" s="166" t="s">
        <v>251</v>
      </c>
      <c r="C20" s="6"/>
      <c r="D20" s="6"/>
      <c r="E20" s="6"/>
      <c r="F20" s="167"/>
      <c r="G20" s="179">
        <v>9500</v>
      </c>
      <c r="H20" s="6"/>
    </row>
    <row r="21" spans="1:8" ht="22.5" customHeight="1" thickBot="1">
      <c r="B21" s="6"/>
      <c r="C21" s="6"/>
      <c r="D21" s="6"/>
      <c r="E21" s="6"/>
      <c r="F21" s="167" t="s">
        <v>4</v>
      </c>
      <c r="G21" s="303">
        <f>SUM(G4:G20)</f>
        <v>420700</v>
      </c>
    </row>
    <row r="22" spans="1:8" ht="22.5" customHeight="1" thickTop="1"/>
  </sheetData>
  <mergeCells count="3">
    <mergeCell ref="A1:G1"/>
    <mergeCell ref="A2:G2"/>
    <mergeCell ref="B4:F4"/>
  </mergeCells>
  <pageMargins left="0.9055118110236221" right="0.15748031496062992" top="0.82" bottom="0.35433070866141736" header="0.51181102362204722" footer="0.51181102362204722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rgb="FF00B050"/>
  </sheetPr>
  <dimension ref="B1:M38"/>
  <sheetViews>
    <sheetView view="pageBreakPreview" topLeftCell="A19" zoomScaleSheetLayoutView="100" workbookViewId="0">
      <selection activeCell="G35" sqref="G35"/>
    </sheetView>
  </sheetViews>
  <sheetFormatPr defaultRowHeight="21"/>
  <cols>
    <col min="1" max="1" width="7.5" style="2" customWidth="1"/>
    <col min="2" max="2" width="5.125" style="2" customWidth="1"/>
    <col min="3" max="6" width="9" style="2"/>
    <col min="7" max="7" width="22.875" style="2" customWidth="1"/>
    <col min="8" max="8" width="13.5" style="6" customWidth="1"/>
    <col min="9" max="11" width="9" style="2"/>
    <col min="12" max="12" width="17.625" style="2" customWidth="1"/>
    <col min="13" max="13" width="20.25" style="2" customWidth="1"/>
    <col min="14" max="16384" width="9" style="2"/>
  </cols>
  <sheetData>
    <row r="1" spans="2:13" ht="22.5" customHeight="1">
      <c r="B1" s="373" t="s">
        <v>127</v>
      </c>
      <c r="C1" s="373"/>
      <c r="D1" s="373"/>
      <c r="E1" s="373"/>
      <c r="F1" s="373"/>
      <c r="G1" s="373"/>
      <c r="H1" s="373"/>
    </row>
    <row r="2" spans="2:13" ht="22.5" customHeight="1">
      <c r="B2" s="373" t="s">
        <v>115</v>
      </c>
      <c r="C2" s="373"/>
      <c r="D2" s="373"/>
      <c r="E2" s="373"/>
      <c r="F2" s="373"/>
      <c r="G2" s="373"/>
      <c r="H2" s="373"/>
    </row>
    <row r="3" spans="2:13" ht="22.5" customHeight="1">
      <c r="B3" s="13" t="s">
        <v>413</v>
      </c>
      <c r="C3" s="13"/>
      <c r="D3" s="13"/>
    </row>
    <row r="4" spans="2:13" ht="22.5" customHeight="1">
      <c r="B4" s="166" t="s">
        <v>254</v>
      </c>
      <c r="H4" s="168">
        <v>239000</v>
      </c>
      <c r="L4" s="77"/>
      <c r="M4" s="39"/>
    </row>
    <row r="5" spans="2:13" ht="22.5" customHeight="1">
      <c r="B5" s="166" t="s">
        <v>255</v>
      </c>
      <c r="H5" s="168">
        <v>171000</v>
      </c>
      <c r="L5" s="77"/>
      <c r="M5" s="39"/>
    </row>
    <row r="6" spans="2:13" ht="22.5" customHeight="1">
      <c r="B6" s="166" t="s">
        <v>255</v>
      </c>
      <c r="H6" s="168">
        <v>150000</v>
      </c>
      <c r="L6" s="77"/>
      <c r="M6" s="39"/>
    </row>
    <row r="7" spans="2:13" ht="22.5" customHeight="1">
      <c r="B7" s="166" t="s">
        <v>269</v>
      </c>
      <c r="H7" s="168">
        <v>158000</v>
      </c>
      <c r="L7" s="170"/>
      <c r="M7" s="39"/>
    </row>
    <row r="8" spans="2:13" ht="22.5" customHeight="1">
      <c r="B8" s="166" t="s">
        <v>270</v>
      </c>
      <c r="H8" s="168">
        <v>248000</v>
      </c>
      <c r="L8" s="170"/>
      <c r="M8" s="39"/>
    </row>
    <row r="9" spans="2:13" ht="22.5" customHeight="1">
      <c r="B9" s="166" t="s">
        <v>256</v>
      </c>
      <c r="H9" s="168">
        <v>169000</v>
      </c>
      <c r="L9" s="77"/>
      <c r="M9" s="39"/>
    </row>
    <row r="10" spans="2:13" ht="22.5" customHeight="1">
      <c r="B10" s="166" t="s">
        <v>257</v>
      </c>
      <c r="H10" s="168">
        <v>218000</v>
      </c>
      <c r="L10" s="77"/>
      <c r="M10" s="39"/>
    </row>
    <row r="11" spans="2:13" ht="22.5" customHeight="1">
      <c r="B11" s="166" t="s">
        <v>271</v>
      </c>
      <c r="H11" s="168">
        <v>272000</v>
      </c>
      <c r="L11" s="77"/>
      <c r="M11" s="39"/>
    </row>
    <row r="12" spans="2:13" ht="22.5" customHeight="1">
      <c r="B12" s="166" t="s">
        <v>258</v>
      </c>
      <c r="H12" s="168">
        <v>105000</v>
      </c>
      <c r="L12" s="5"/>
      <c r="M12" s="5"/>
    </row>
    <row r="13" spans="2:13" ht="22.5" customHeight="1">
      <c r="B13" s="166" t="s">
        <v>259</v>
      </c>
      <c r="H13" s="168">
        <v>278000</v>
      </c>
      <c r="L13" s="5"/>
      <c r="M13" s="5"/>
    </row>
    <row r="14" spans="2:13" ht="22.5" customHeight="1">
      <c r="B14" s="166" t="s">
        <v>260</v>
      </c>
      <c r="H14" s="168">
        <v>84000</v>
      </c>
      <c r="L14" s="5"/>
      <c r="M14" s="5"/>
    </row>
    <row r="15" spans="2:13" ht="22.5" customHeight="1">
      <c r="B15" s="166" t="s">
        <v>261</v>
      </c>
      <c r="H15" s="168">
        <v>212000</v>
      </c>
      <c r="L15" s="5"/>
      <c r="M15" s="5"/>
    </row>
    <row r="16" spans="2:13" ht="22.5" customHeight="1">
      <c r="B16" s="166" t="s">
        <v>262</v>
      </c>
      <c r="H16" s="168">
        <v>241000</v>
      </c>
      <c r="L16" s="5"/>
      <c r="M16" s="5"/>
    </row>
    <row r="17" spans="2:13" ht="22.5" customHeight="1">
      <c r="B17" s="166" t="s">
        <v>263</v>
      </c>
      <c r="H17" s="168">
        <v>117000</v>
      </c>
      <c r="L17" s="5"/>
      <c r="M17" s="5"/>
    </row>
    <row r="18" spans="2:13" ht="22.5" customHeight="1">
      <c r="B18" s="166" t="s">
        <v>264</v>
      </c>
      <c r="H18" s="168">
        <v>79000</v>
      </c>
      <c r="L18" s="5"/>
      <c r="M18" s="5"/>
    </row>
    <row r="19" spans="2:13" ht="22.5" customHeight="1">
      <c r="B19" s="166" t="s">
        <v>265</v>
      </c>
      <c r="H19" s="168">
        <v>122000</v>
      </c>
      <c r="L19" s="5"/>
      <c r="M19" s="5"/>
    </row>
    <row r="20" spans="2:13" ht="22.5" customHeight="1">
      <c r="B20" s="166" t="s">
        <v>266</v>
      </c>
      <c r="H20" s="168">
        <v>228000</v>
      </c>
      <c r="L20" s="5"/>
      <c r="M20" s="5"/>
    </row>
    <row r="21" spans="2:13" ht="22.5" customHeight="1">
      <c r="B21" s="166" t="s">
        <v>267</v>
      </c>
      <c r="H21" s="168">
        <v>278000</v>
      </c>
      <c r="L21" s="5"/>
      <c r="M21" s="5"/>
    </row>
    <row r="22" spans="2:13" ht="22.5" customHeight="1">
      <c r="B22" s="166" t="s">
        <v>268</v>
      </c>
      <c r="H22" s="168">
        <v>347800</v>
      </c>
      <c r="L22" s="5"/>
      <c r="M22" s="5"/>
    </row>
    <row r="23" spans="2:13" ht="21.75" thickBot="1">
      <c r="B23" s="166"/>
      <c r="G23" s="14" t="s">
        <v>4</v>
      </c>
      <c r="H23" s="303">
        <f>SUM(H4:H22)</f>
        <v>3716800</v>
      </c>
    </row>
    <row r="24" spans="2:13" ht="21.75" thickTop="1">
      <c r="B24" s="13" t="s">
        <v>392</v>
      </c>
    </row>
    <row r="25" spans="2:13">
      <c r="B25" s="166" t="s">
        <v>393</v>
      </c>
      <c r="H25" s="40">
        <v>223000</v>
      </c>
    </row>
    <row r="26" spans="2:13">
      <c r="B26" s="166" t="s">
        <v>394</v>
      </c>
      <c r="H26" s="40">
        <v>76000</v>
      </c>
    </row>
    <row r="27" spans="2:13">
      <c r="B27" s="166" t="s">
        <v>395</v>
      </c>
      <c r="H27" s="40">
        <v>43650</v>
      </c>
    </row>
    <row r="28" spans="2:13">
      <c r="B28" s="166" t="s">
        <v>396</v>
      </c>
      <c r="H28" s="40">
        <v>77000</v>
      </c>
    </row>
    <row r="29" spans="2:13">
      <c r="B29" s="166" t="s">
        <v>397</v>
      </c>
      <c r="H29" s="40">
        <v>55000</v>
      </c>
    </row>
    <row r="30" spans="2:13">
      <c r="B30" s="166" t="s">
        <v>398</v>
      </c>
      <c r="H30" s="40">
        <v>82000</v>
      </c>
    </row>
    <row r="31" spans="2:13">
      <c r="B31" s="166" t="s">
        <v>399</v>
      </c>
      <c r="H31" s="40">
        <v>80000</v>
      </c>
    </row>
    <row r="32" spans="2:13">
      <c r="B32" s="166" t="s">
        <v>400</v>
      </c>
      <c r="H32" s="40">
        <v>80000</v>
      </c>
    </row>
    <row r="33" spans="2:8">
      <c r="B33" s="166" t="s">
        <v>401</v>
      </c>
      <c r="H33" s="40">
        <v>74500</v>
      </c>
    </row>
    <row r="34" spans="2:8">
      <c r="B34" s="166" t="s">
        <v>402</v>
      </c>
      <c r="H34" s="40">
        <v>60000</v>
      </c>
    </row>
    <row r="35" spans="2:8">
      <c r="B35" s="166" t="s">
        <v>403</v>
      </c>
      <c r="H35" s="40">
        <v>77000</v>
      </c>
    </row>
    <row r="36" spans="2:8">
      <c r="B36" s="166"/>
      <c r="G36" s="15" t="s">
        <v>4</v>
      </c>
      <c r="H36" s="305">
        <f>SUM(H25:H35)</f>
        <v>928150</v>
      </c>
    </row>
    <row r="37" spans="2:8" ht="21.75" thickBot="1">
      <c r="G37" s="221" t="s">
        <v>5</v>
      </c>
      <c r="H37" s="304">
        <f>H36+H23</f>
        <v>4644950</v>
      </c>
    </row>
    <row r="38" spans="2:8" ht="21.75" thickTop="1"/>
  </sheetData>
  <mergeCells count="2">
    <mergeCell ref="B1:H1"/>
    <mergeCell ref="B2:H2"/>
  </mergeCells>
  <pageMargins left="0.70866141732283472" right="0.31496062992125984" top="0.35433070866141736" bottom="0" header="0" footer="0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20"/>
  <sheetViews>
    <sheetView tabSelected="1" view="pageBreakPreview" zoomScaleSheetLayoutView="100" workbookViewId="0">
      <selection activeCell="I17" sqref="I17"/>
    </sheetView>
  </sheetViews>
  <sheetFormatPr defaultRowHeight="21"/>
  <cols>
    <col min="1" max="1" width="9" style="2"/>
    <col min="2" max="2" width="3.75" style="2" customWidth="1"/>
    <col min="3" max="8" width="9" style="2"/>
    <col min="9" max="9" width="15.125" style="2" customWidth="1"/>
    <col min="10" max="16384" width="9" style="2"/>
  </cols>
  <sheetData>
    <row r="1" spans="1:9">
      <c r="A1" s="373" t="s">
        <v>308</v>
      </c>
      <c r="B1" s="373"/>
      <c r="C1" s="373"/>
      <c r="D1" s="373"/>
      <c r="E1" s="373"/>
      <c r="F1" s="373"/>
      <c r="G1" s="373"/>
      <c r="H1" s="373"/>
      <c r="I1" s="373"/>
    </row>
    <row r="2" spans="1:9">
      <c r="A2" s="373" t="s">
        <v>35</v>
      </c>
      <c r="B2" s="373"/>
      <c r="C2" s="373"/>
      <c r="D2" s="373"/>
      <c r="E2" s="373"/>
      <c r="F2" s="373"/>
      <c r="G2" s="373"/>
      <c r="H2" s="373"/>
      <c r="I2" s="373"/>
    </row>
    <row r="3" spans="1:9">
      <c r="A3" s="373" t="s">
        <v>309</v>
      </c>
      <c r="B3" s="373"/>
      <c r="C3" s="373"/>
      <c r="D3" s="373"/>
      <c r="E3" s="373"/>
      <c r="F3" s="373"/>
      <c r="G3" s="373"/>
      <c r="H3" s="373"/>
      <c r="I3" s="373"/>
    </row>
    <row r="5" spans="1:9">
      <c r="A5" s="13" t="s">
        <v>310</v>
      </c>
    </row>
    <row r="6" spans="1:9">
      <c r="A6" s="375" t="s">
        <v>424</v>
      </c>
      <c r="B6" s="375"/>
      <c r="C6" s="375"/>
      <c r="D6" s="375"/>
      <c r="E6" s="375"/>
      <c r="F6" s="375"/>
      <c r="G6" s="375"/>
      <c r="H6" s="375"/>
      <c r="I6" s="375"/>
    </row>
    <row r="7" spans="1:9">
      <c r="A7" s="375" t="s">
        <v>407</v>
      </c>
      <c r="B7" s="375"/>
      <c r="C7" s="375"/>
      <c r="D7" s="375"/>
      <c r="E7" s="375"/>
      <c r="F7" s="375"/>
      <c r="G7" s="375"/>
      <c r="H7" s="375"/>
      <c r="I7" s="375"/>
    </row>
    <row r="8" spans="1:9">
      <c r="A8" s="375" t="s">
        <v>408</v>
      </c>
      <c r="B8" s="375"/>
      <c r="C8" s="375"/>
      <c r="D8" s="375"/>
      <c r="E8" s="375"/>
      <c r="F8" s="375"/>
      <c r="G8" s="375"/>
      <c r="H8" s="375"/>
      <c r="I8" s="375"/>
    </row>
    <row r="9" spans="1:9">
      <c r="A9" s="375" t="s">
        <v>425</v>
      </c>
      <c r="B9" s="375"/>
      <c r="C9" s="375"/>
      <c r="D9" s="375"/>
      <c r="E9" s="375"/>
      <c r="F9" s="375"/>
      <c r="G9" s="375"/>
      <c r="H9" s="375"/>
      <c r="I9" s="375"/>
    </row>
    <row r="10" spans="1:9">
      <c r="A10" s="375" t="s">
        <v>426</v>
      </c>
      <c r="B10" s="375"/>
      <c r="C10" s="375"/>
      <c r="D10" s="375"/>
      <c r="E10" s="375"/>
      <c r="F10" s="375"/>
      <c r="G10" s="375"/>
      <c r="H10" s="375"/>
      <c r="I10" s="375"/>
    </row>
    <row r="11" spans="1:9">
      <c r="A11" s="375" t="s">
        <v>427</v>
      </c>
      <c r="B11" s="375"/>
      <c r="C11" s="375"/>
      <c r="D11" s="375"/>
      <c r="E11" s="375"/>
      <c r="F11" s="375"/>
      <c r="G11" s="375"/>
      <c r="H11" s="375"/>
      <c r="I11" s="375"/>
    </row>
    <row r="12" spans="1:9">
      <c r="A12" s="375" t="s">
        <v>404</v>
      </c>
      <c r="B12" s="375"/>
      <c r="C12" s="375"/>
      <c r="D12" s="375"/>
      <c r="E12" s="375"/>
      <c r="F12" s="375"/>
      <c r="G12" s="375"/>
      <c r="H12" s="375"/>
      <c r="I12" s="375"/>
    </row>
    <row r="14" spans="1:9">
      <c r="A14" s="13" t="s">
        <v>311</v>
      </c>
    </row>
    <row r="15" spans="1:9">
      <c r="B15" s="2" t="s">
        <v>312</v>
      </c>
    </row>
    <row r="16" spans="1:9">
      <c r="C16" s="2" t="s">
        <v>313</v>
      </c>
    </row>
    <row r="17" spans="1:2">
      <c r="A17" s="2" t="s">
        <v>314</v>
      </c>
    </row>
    <row r="18" spans="1:2">
      <c r="A18" s="2" t="s">
        <v>315</v>
      </c>
    </row>
    <row r="19" spans="1:2">
      <c r="A19" s="2" t="s">
        <v>316</v>
      </c>
    </row>
    <row r="20" spans="1:2">
      <c r="B20" s="2" t="s">
        <v>317</v>
      </c>
    </row>
  </sheetData>
  <mergeCells count="10">
    <mergeCell ref="A9:I9"/>
    <mergeCell ref="A10:I10"/>
    <mergeCell ref="A11:I11"/>
    <mergeCell ref="A12:I12"/>
    <mergeCell ref="A1:I1"/>
    <mergeCell ref="A2:I2"/>
    <mergeCell ref="A3:I3"/>
    <mergeCell ref="A6:I6"/>
    <mergeCell ref="A7:I7"/>
    <mergeCell ref="A8:I8"/>
  </mergeCells>
  <pageMargins left="0.7" right="0.7" top="0.75" bottom="0.75" header="0.3" footer="0.3"/>
  <pageSetup paperSize="14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00B050"/>
  </sheetPr>
  <dimension ref="A1:I86"/>
  <sheetViews>
    <sheetView view="pageBreakPreview" zoomScaleSheetLayoutView="100" workbookViewId="0">
      <selection activeCell="E9" sqref="E9"/>
    </sheetView>
  </sheetViews>
  <sheetFormatPr defaultRowHeight="21"/>
  <cols>
    <col min="1" max="1" width="25.5" style="11" customWidth="1"/>
    <col min="2" max="2" width="16.125" style="2" customWidth="1"/>
    <col min="3" max="3" width="16.25" style="2" customWidth="1"/>
    <col min="4" max="4" width="16.375" style="2" customWidth="1"/>
    <col min="5" max="5" width="13.75" style="2" customWidth="1"/>
    <col min="6" max="6" width="14.5" style="2" customWidth="1"/>
    <col min="7" max="7" width="15.625" style="2" customWidth="1"/>
    <col min="8" max="8" width="13.125" style="2" customWidth="1"/>
    <col min="9" max="16384" width="9" style="2"/>
  </cols>
  <sheetData>
    <row r="1" spans="1:6">
      <c r="A1" s="376" t="s">
        <v>128</v>
      </c>
      <c r="B1" s="376"/>
      <c r="C1" s="376"/>
      <c r="D1" s="376"/>
      <c r="E1" s="376"/>
    </row>
    <row r="2" spans="1:6">
      <c r="A2" s="376" t="s">
        <v>35</v>
      </c>
      <c r="B2" s="376"/>
      <c r="C2" s="376"/>
      <c r="D2" s="376"/>
      <c r="E2" s="376"/>
    </row>
    <row r="3" spans="1:6">
      <c r="A3" s="377" t="s">
        <v>234</v>
      </c>
      <c r="B3" s="377"/>
      <c r="C3" s="377"/>
      <c r="D3" s="377"/>
      <c r="E3" s="377"/>
    </row>
    <row r="4" spans="1:6">
      <c r="A4" s="191" t="s">
        <v>39</v>
      </c>
      <c r="B4" s="185"/>
      <c r="C4" s="185"/>
      <c r="D4" s="185"/>
      <c r="E4" s="185"/>
    </row>
    <row r="5" spans="1:6">
      <c r="A5" s="378" t="s">
        <v>25</v>
      </c>
      <c r="B5" s="381" t="s">
        <v>26</v>
      </c>
      <c r="C5" s="382"/>
      <c r="D5" s="383" t="s">
        <v>40</v>
      </c>
      <c r="E5" s="383"/>
      <c r="F5" s="384"/>
    </row>
    <row r="6" spans="1:6">
      <c r="A6" s="379"/>
      <c r="B6" s="203"/>
      <c r="C6" s="204"/>
      <c r="D6" s="187" t="s">
        <v>8</v>
      </c>
      <c r="E6" s="380" t="s">
        <v>7</v>
      </c>
      <c r="F6" s="380"/>
    </row>
    <row r="7" spans="1:6">
      <c r="A7" s="220"/>
      <c r="B7" s="186">
        <v>2561</v>
      </c>
      <c r="C7" s="186">
        <v>2560</v>
      </c>
      <c r="D7" s="185"/>
      <c r="E7" s="16">
        <v>2561</v>
      </c>
      <c r="F7" s="188">
        <v>2560</v>
      </c>
    </row>
    <row r="8" spans="1:6">
      <c r="A8" s="192" t="s">
        <v>36</v>
      </c>
      <c r="B8" s="17"/>
      <c r="C8" s="17"/>
      <c r="D8" s="18"/>
      <c r="E8" s="21"/>
      <c r="F8" s="183"/>
    </row>
    <row r="9" spans="1:6">
      <c r="A9" s="193" t="s">
        <v>92</v>
      </c>
      <c r="B9" s="18">
        <v>3600000</v>
      </c>
      <c r="C9" s="18">
        <v>3600000</v>
      </c>
      <c r="D9" s="190" t="s">
        <v>318</v>
      </c>
      <c r="E9" s="20">
        <f>B37-E10</f>
        <v>30399518.300000001</v>
      </c>
      <c r="F9" s="48">
        <v>29409717.5</v>
      </c>
    </row>
    <row r="10" spans="1:6">
      <c r="A10" s="193" t="s">
        <v>89</v>
      </c>
      <c r="B10" s="21">
        <v>9953148.2300000004</v>
      </c>
      <c r="C10" s="21">
        <v>9953148.2300000004</v>
      </c>
      <c r="D10" s="2" t="s">
        <v>406</v>
      </c>
      <c r="E10" s="48">
        <v>2652784.23</v>
      </c>
      <c r="F10" s="48">
        <v>2652784.23</v>
      </c>
    </row>
    <row r="11" spans="1:6">
      <c r="A11" s="193" t="s">
        <v>131</v>
      </c>
      <c r="B11" s="21">
        <v>752800</v>
      </c>
      <c r="C11" s="21">
        <v>405000</v>
      </c>
      <c r="D11" s="190"/>
      <c r="E11" s="20"/>
      <c r="F11" s="49"/>
    </row>
    <row r="12" spans="1:6">
      <c r="A12" s="193" t="s">
        <v>132</v>
      </c>
      <c r="B12" s="21">
        <v>194500</v>
      </c>
      <c r="C12" s="21">
        <v>194500</v>
      </c>
      <c r="D12" s="19"/>
      <c r="E12" s="20"/>
      <c r="F12" s="49"/>
    </row>
    <row r="13" spans="1:6">
      <c r="A13" s="193" t="s">
        <v>133</v>
      </c>
      <c r="B13" s="21">
        <v>296000</v>
      </c>
      <c r="C13" s="21">
        <v>296000</v>
      </c>
      <c r="D13" s="19"/>
      <c r="E13" s="20"/>
      <c r="F13" s="49"/>
    </row>
    <row r="14" spans="1:6">
      <c r="A14" s="193" t="s">
        <v>134</v>
      </c>
      <c r="B14" s="21">
        <v>962500</v>
      </c>
      <c r="C14" s="21">
        <v>962500</v>
      </c>
      <c r="D14" s="49"/>
      <c r="E14" s="49"/>
      <c r="F14" s="49"/>
    </row>
    <row r="15" spans="1:6">
      <c r="A15" s="193" t="s">
        <v>135</v>
      </c>
      <c r="B15" s="21">
        <v>241900</v>
      </c>
      <c r="C15" s="21">
        <v>241900</v>
      </c>
      <c r="D15" s="18"/>
      <c r="E15" s="20"/>
      <c r="F15" s="49"/>
    </row>
    <row r="16" spans="1:6">
      <c r="A16" s="193" t="s">
        <v>136</v>
      </c>
      <c r="B16" s="21">
        <v>386400</v>
      </c>
      <c r="C16" s="21">
        <v>386400</v>
      </c>
      <c r="D16" s="19"/>
      <c r="E16" s="20"/>
      <c r="F16" s="49"/>
    </row>
    <row r="17" spans="1:9">
      <c r="A17" s="193" t="s">
        <v>137</v>
      </c>
      <c r="B17" s="21">
        <v>800600.8</v>
      </c>
      <c r="C17" s="21">
        <v>635300</v>
      </c>
      <c r="D17" s="19"/>
      <c r="E17" s="20"/>
      <c r="F17" s="49"/>
    </row>
    <row r="18" spans="1:9">
      <c r="A18" s="193" t="s">
        <v>138</v>
      </c>
      <c r="B18" s="21">
        <v>197460</v>
      </c>
      <c r="C18" s="21">
        <v>197460</v>
      </c>
      <c r="D18" s="19"/>
      <c r="E18" s="20"/>
      <c r="F18" s="49"/>
    </row>
    <row r="19" spans="1:9">
      <c r="A19" s="194" t="s">
        <v>41</v>
      </c>
      <c r="B19" s="22">
        <f>SUM(B9:B18)</f>
        <v>17385309.030000001</v>
      </c>
      <c r="C19" s="22">
        <f>SUM(C9:C18)</f>
        <v>16872208.23</v>
      </c>
      <c r="D19" s="23"/>
      <c r="E19" s="24"/>
      <c r="F19" s="49"/>
    </row>
    <row r="20" spans="1:9">
      <c r="A20" s="192" t="s">
        <v>48</v>
      </c>
      <c r="B20" s="21"/>
      <c r="C20" s="21"/>
      <c r="D20" s="18"/>
      <c r="E20" s="21"/>
      <c r="F20" s="49"/>
    </row>
    <row r="21" spans="1:9">
      <c r="A21" s="195" t="s">
        <v>119</v>
      </c>
      <c r="B21" s="26">
        <v>3451346</v>
      </c>
      <c r="C21" s="26">
        <v>3133846</v>
      </c>
      <c r="D21" s="18"/>
      <c r="E21" s="21"/>
      <c r="F21" s="49"/>
    </row>
    <row r="22" spans="1:9">
      <c r="A22" s="195" t="s">
        <v>120</v>
      </c>
      <c r="B22" s="21">
        <v>7922998</v>
      </c>
      <c r="C22" s="21">
        <v>7922998</v>
      </c>
      <c r="D22" s="18"/>
      <c r="E22" s="21"/>
      <c r="F22" s="49"/>
    </row>
    <row r="23" spans="1:9">
      <c r="A23" s="195" t="s">
        <v>139</v>
      </c>
      <c r="B23" s="26">
        <v>1122510</v>
      </c>
      <c r="C23" s="26">
        <v>1084610</v>
      </c>
      <c r="D23" s="18"/>
      <c r="E23" s="21"/>
      <c r="F23" s="49"/>
    </row>
    <row r="24" spans="1:9">
      <c r="A24" s="195" t="s">
        <v>140</v>
      </c>
      <c r="B24" s="26">
        <v>105225</v>
      </c>
      <c r="C24" s="26">
        <v>105225</v>
      </c>
      <c r="D24" s="18"/>
      <c r="E24" s="21"/>
      <c r="F24" s="49"/>
    </row>
    <row r="25" spans="1:9">
      <c r="A25" s="195" t="s">
        <v>141</v>
      </c>
      <c r="B25" s="26">
        <v>996564.5</v>
      </c>
      <c r="C25" s="26">
        <v>996564.5</v>
      </c>
      <c r="D25" s="18"/>
      <c r="E25" s="21"/>
      <c r="F25" s="49"/>
    </row>
    <row r="26" spans="1:9">
      <c r="A26" s="195" t="s">
        <v>142</v>
      </c>
      <c r="B26" s="26">
        <v>50800</v>
      </c>
      <c r="C26" s="26">
        <v>50800</v>
      </c>
      <c r="D26" s="18"/>
      <c r="E26" s="21"/>
      <c r="F26" s="49"/>
    </row>
    <row r="27" spans="1:9">
      <c r="A27" s="195" t="s">
        <v>143</v>
      </c>
      <c r="B27" s="26">
        <v>29500</v>
      </c>
      <c r="C27" s="26">
        <v>29500</v>
      </c>
      <c r="D27" s="18"/>
      <c r="E27" s="21"/>
      <c r="F27" s="49"/>
    </row>
    <row r="28" spans="1:9">
      <c r="A28" s="195" t="s">
        <v>144</v>
      </c>
      <c r="B28" s="26">
        <v>56000</v>
      </c>
      <c r="C28" s="26">
        <v>56000</v>
      </c>
      <c r="D28" s="18"/>
      <c r="E28" s="21"/>
      <c r="F28" s="49"/>
    </row>
    <row r="29" spans="1:9">
      <c r="A29" s="195" t="s">
        <v>145</v>
      </c>
      <c r="B29" s="26">
        <v>377650</v>
      </c>
      <c r="C29" s="26">
        <v>377650</v>
      </c>
      <c r="D29" s="18"/>
      <c r="E29" s="21"/>
      <c r="F29" s="49"/>
    </row>
    <row r="30" spans="1:9">
      <c r="A30" s="195" t="s">
        <v>146</v>
      </c>
      <c r="B30" s="26">
        <v>594900</v>
      </c>
      <c r="C30" s="26">
        <v>516400</v>
      </c>
      <c r="D30" s="18"/>
      <c r="E30" s="21"/>
      <c r="F30" s="49"/>
      <c r="G30" s="5"/>
      <c r="H30" s="10"/>
      <c r="I30" s="5"/>
    </row>
    <row r="31" spans="1:9">
      <c r="A31" s="195" t="s">
        <v>147</v>
      </c>
      <c r="B31" s="26">
        <v>350050</v>
      </c>
      <c r="C31" s="26">
        <v>307250</v>
      </c>
      <c r="D31" s="18"/>
      <c r="E31" s="21"/>
      <c r="F31" s="49"/>
      <c r="G31" s="5"/>
      <c r="H31" s="10"/>
      <c r="I31" s="5"/>
    </row>
    <row r="32" spans="1:9">
      <c r="A32" s="195" t="s">
        <v>148</v>
      </c>
      <c r="B32" s="26">
        <v>46350</v>
      </c>
      <c r="C32" s="26">
        <v>46350</v>
      </c>
      <c r="D32" s="18"/>
      <c r="E32" s="21"/>
      <c r="F32" s="49"/>
      <c r="G32" s="5"/>
      <c r="H32" s="10"/>
      <c r="I32" s="5"/>
    </row>
    <row r="33" spans="1:9">
      <c r="A33" s="195" t="s">
        <v>149</v>
      </c>
      <c r="B33" s="26">
        <v>12000</v>
      </c>
      <c r="C33" s="26">
        <v>12000</v>
      </c>
      <c r="D33" s="18"/>
      <c r="E33" s="21"/>
      <c r="F33" s="49"/>
      <c r="G33" s="5"/>
      <c r="H33" s="10"/>
      <c r="I33" s="5"/>
    </row>
    <row r="34" spans="1:9">
      <c r="A34" s="195" t="s">
        <v>150</v>
      </c>
      <c r="B34" s="26">
        <v>60000</v>
      </c>
      <c r="C34" s="26">
        <v>60000</v>
      </c>
      <c r="D34" s="18"/>
      <c r="E34" s="21"/>
      <c r="F34" s="49"/>
      <c r="G34" s="5"/>
      <c r="H34" s="10"/>
      <c r="I34" s="5"/>
    </row>
    <row r="35" spans="1:9">
      <c r="A35" s="195" t="s">
        <v>151</v>
      </c>
      <c r="B35" s="26">
        <v>491100</v>
      </c>
      <c r="C35" s="26">
        <v>491100</v>
      </c>
      <c r="D35" s="18"/>
      <c r="E35" s="21"/>
      <c r="F35" s="49"/>
      <c r="G35" s="5"/>
      <c r="H35" s="10"/>
      <c r="I35" s="5"/>
    </row>
    <row r="36" spans="1:9">
      <c r="A36" s="196" t="s">
        <v>42</v>
      </c>
      <c r="B36" s="27">
        <f>SUM(B21:B35)</f>
        <v>15666993.5</v>
      </c>
      <c r="C36" s="27">
        <f>SUM(C21:C35)</f>
        <v>15190293.5</v>
      </c>
      <c r="D36" s="28"/>
      <c r="E36" s="29"/>
      <c r="F36" s="205"/>
      <c r="G36" s="5"/>
      <c r="H36" s="10"/>
      <c r="I36" s="5"/>
    </row>
    <row r="37" spans="1:9" ht="21.75" thickBot="1">
      <c r="A37" s="197" t="s">
        <v>5</v>
      </c>
      <c r="B37" s="306">
        <f>B19+B36</f>
        <v>33052302.530000001</v>
      </c>
      <c r="C37" s="306">
        <f>C19+C36</f>
        <v>32062501.73</v>
      </c>
      <c r="D37" s="30"/>
      <c r="E37" s="306">
        <f>SUM(E9:E18)</f>
        <v>33052302.530000001</v>
      </c>
      <c r="F37" s="306">
        <f>SUM(F9:F18)</f>
        <v>32062501.73</v>
      </c>
      <c r="G37" s="12">
        <f>B37-E37</f>
        <v>0</v>
      </c>
      <c r="H37" s="10"/>
      <c r="I37" s="5"/>
    </row>
    <row r="38" spans="1:9" ht="21.75" thickTop="1">
      <c r="A38" s="198" t="s">
        <v>43</v>
      </c>
      <c r="B38" s="31"/>
      <c r="C38" s="31"/>
      <c r="D38" s="32"/>
      <c r="E38" s="31"/>
      <c r="G38" s="5"/>
      <c r="H38" s="10"/>
      <c r="I38" s="5"/>
    </row>
    <row r="39" spans="1:9">
      <c r="A39" s="199" t="s">
        <v>44</v>
      </c>
      <c r="B39" s="31"/>
      <c r="C39" s="31"/>
      <c r="D39" s="32"/>
      <c r="E39" s="31"/>
      <c r="G39" s="5"/>
      <c r="H39" s="10"/>
      <c r="I39" s="5"/>
    </row>
    <row r="40" spans="1:9" hidden="1">
      <c r="A40" s="199" t="s">
        <v>46</v>
      </c>
      <c r="B40" s="31"/>
      <c r="C40" s="31"/>
      <c r="D40" s="32"/>
      <c r="E40" s="31"/>
      <c r="G40" s="5"/>
      <c r="H40" s="10"/>
      <c r="I40" s="5"/>
    </row>
    <row r="41" spans="1:9">
      <c r="A41" s="199" t="s">
        <v>45</v>
      </c>
      <c r="B41" s="31"/>
      <c r="C41" s="31"/>
      <c r="D41" s="32"/>
      <c r="E41" s="31"/>
      <c r="G41" s="5"/>
      <c r="H41" s="10"/>
      <c r="I41" s="5"/>
    </row>
    <row r="42" spans="1:9">
      <c r="A42" s="199" t="s">
        <v>77</v>
      </c>
      <c r="B42" s="31"/>
      <c r="C42" s="31"/>
      <c r="D42" s="32"/>
      <c r="E42" s="31"/>
      <c r="G42" s="5"/>
      <c r="H42" s="10"/>
      <c r="I42" s="5"/>
    </row>
    <row r="43" spans="1:9">
      <c r="G43" s="5"/>
      <c r="H43" s="10"/>
      <c r="I43" s="5"/>
    </row>
    <row r="44" spans="1:9">
      <c r="G44" s="5"/>
      <c r="H44" s="10"/>
      <c r="I44" s="5"/>
    </row>
    <row r="45" spans="1:9">
      <c r="G45" s="5"/>
      <c r="H45" s="10"/>
      <c r="I45" s="5"/>
    </row>
    <row r="46" spans="1:9">
      <c r="G46" s="5"/>
      <c r="H46" s="5"/>
      <c r="I46" s="5"/>
    </row>
    <row r="48" spans="1:9">
      <c r="F48" s="7"/>
    </row>
    <row r="49" spans="6:7">
      <c r="F49" s="7"/>
    </row>
    <row r="50" spans="6:7">
      <c r="F50" s="7"/>
    </row>
    <row r="51" spans="6:7">
      <c r="F51" s="7"/>
    </row>
    <row r="52" spans="6:7">
      <c r="F52" s="7"/>
    </row>
    <row r="55" spans="6:7">
      <c r="F55" s="8"/>
      <c r="G55" s="8"/>
    </row>
    <row r="56" spans="6:7">
      <c r="F56" s="8"/>
      <c r="G56" s="8"/>
    </row>
    <row r="57" spans="6:7">
      <c r="F57" s="8"/>
      <c r="G57" s="8"/>
    </row>
    <row r="82" spans="6:6">
      <c r="F82" s="11"/>
    </row>
    <row r="83" spans="6:6">
      <c r="F83" s="11"/>
    </row>
    <row r="84" spans="6:6">
      <c r="F84" s="11"/>
    </row>
    <row r="85" spans="6:6">
      <c r="F85" s="11"/>
    </row>
    <row r="86" spans="6:6">
      <c r="F86" s="11"/>
    </row>
  </sheetData>
  <mergeCells count="7">
    <mergeCell ref="A1:E1"/>
    <mergeCell ref="A2:E2"/>
    <mergeCell ref="A3:E3"/>
    <mergeCell ref="A5:A6"/>
    <mergeCell ref="E6:F6"/>
    <mergeCell ref="B5:C5"/>
    <mergeCell ref="D5:F5"/>
  </mergeCells>
  <pageMargins left="0.70866141732283472" right="0" top="0.23622047244094491" bottom="3.937007874015748E-2" header="0.31496062992125984" footer="0"/>
  <pageSetup paperSize="9" scale="8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00B050"/>
  </sheetPr>
  <dimension ref="B1:K19"/>
  <sheetViews>
    <sheetView view="pageBreakPreview" zoomScaleSheetLayoutView="100" workbookViewId="0">
      <selection activeCell="I16" sqref="I16"/>
    </sheetView>
  </sheetViews>
  <sheetFormatPr defaultRowHeight="21"/>
  <cols>
    <col min="1" max="1" width="2.75" style="2" customWidth="1"/>
    <col min="2" max="2" width="2" style="2" customWidth="1"/>
    <col min="3" max="3" width="11.5" style="2" customWidth="1"/>
    <col min="4" max="4" width="6.25" style="2" customWidth="1"/>
    <col min="5" max="5" width="12.25" style="2" customWidth="1"/>
    <col min="6" max="6" width="18.25" style="2" customWidth="1"/>
    <col min="7" max="7" width="19.875" style="2" customWidth="1"/>
    <col min="8" max="8" width="13.5" style="2" customWidth="1"/>
    <col min="9" max="9" width="13.75" style="2" customWidth="1"/>
    <col min="10" max="10" width="3.375" style="2" customWidth="1"/>
    <col min="11" max="11" width="14.25" style="3" customWidth="1"/>
    <col min="12" max="16384" width="9" style="2"/>
  </cols>
  <sheetData>
    <row r="1" spans="2:10">
      <c r="B1" s="373" t="s">
        <v>127</v>
      </c>
      <c r="C1" s="373"/>
      <c r="D1" s="373"/>
      <c r="E1" s="373"/>
      <c r="F1" s="373"/>
      <c r="G1" s="373"/>
      <c r="H1" s="373"/>
      <c r="I1" s="373"/>
      <c r="J1" s="373"/>
    </row>
    <row r="2" spans="2:10">
      <c r="B2" s="373" t="s">
        <v>35</v>
      </c>
      <c r="C2" s="373"/>
      <c r="D2" s="373"/>
      <c r="E2" s="373"/>
      <c r="F2" s="373"/>
      <c r="G2" s="373"/>
      <c r="H2" s="373"/>
      <c r="I2" s="373"/>
      <c r="J2" s="373"/>
    </row>
    <row r="3" spans="2:10">
      <c r="B3" s="373" t="s">
        <v>212</v>
      </c>
      <c r="C3" s="373"/>
      <c r="D3" s="373"/>
      <c r="E3" s="373"/>
      <c r="F3" s="373"/>
      <c r="G3" s="373"/>
      <c r="H3" s="373"/>
      <c r="I3" s="373"/>
      <c r="J3" s="373"/>
    </row>
    <row r="4" spans="2:10">
      <c r="B4" s="13" t="s">
        <v>47</v>
      </c>
      <c r="H4" s="217">
        <v>2561</v>
      </c>
      <c r="I4" s="217">
        <v>2560</v>
      </c>
    </row>
    <row r="5" spans="2:10">
      <c r="C5" s="2" t="s">
        <v>0</v>
      </c>
      <c r="H5" s="3">
        <v>0</v>
      </c>
      <c r="I5" s="3">
        <v>0</v>
      </c>
    </row>
    <row r="6" spans="2:10">
      <c r="C6" s="5" t="s">
        <v>27</v>
      </c>
      <c r="D6" s="33" t="s">
        <v>70</v>
      </c>
      <c r="E6" s="206" t="s">
        <v>33</v>
      </c>
      <c r="F6" s="206" t="s">
        <v>152</v>
      </c>
      <c r="G6" s="34" t="s">
        <v>153</v>
      </c>
      <c r="H6" s="35">
        <f>2952128.22+5320</f>
        <v>2957448.22</v>
      </c>
      <c r="I6" s="35">
        <v>3051788.37</v>
      </c>
    </row>
    <row r="7" spans="2:10">
      <c r="C7" s="5"/>
      <c r="D7" s="33" t="s">
        <v>70</v>
      </c>
      <c r="E7" s="206" t="s">
        <v>33</v>
      </c>
      <c r="F7" s="206" t="s">
        <v>154</v>
      </c>
      <c r="G7" s="34" t="s">
        <v>155</v>
      </c>
      <c r="H7" s="35">
        <v>2826405.09</v>
      </c>
      <c r="I7" s="35">
        <v>2815010.14</v>
      </c>
    </row>
    <row r="8" spans="2:10">
      <c r="C8" s="5"/>
      <c r="D8" s="33" t="s">
        <v>70</v>
      </c>
      <c r="E8" s="206" t="s">
        <v>33</v>
      </c>
      <c r="F8" s="206" t="s">
        <v>152</v>
      </c>
      <c r="G8" s="34" t="s">
        <v>156</v>
      </c>
      <c r="H8" s="35">
        <v>316305.65999999997</v>
      </c>
      <c r="I8" s="35">
        <v>82934.28</v>
      </c>
    </row>
    <row r="9" spans="2:10">
      <c r="C9" s="5"/>
      <c r="D9" s="33" t="s">
        <v>70</v>
      </c>
      <c r="E9" s="206" t="s">
        <v>33</v>
      </c>
      <c r="F9" s="206" t="s">
        <v>157</v>
      </c>
      <c r="G9" s="34" t="s">
        <v>158</v>
      </c>
      <c r="H9" s="35">
        <v>26071.09</v>
      </c>
      <c r="I9" s="35">
        <v>25037.59</v>
      </c>
    </row>
    <row r="10" spans="2:10">
      <c r="C10" s="5"/>
      <c r="D10" s="33" t="s">
        <v>87</v>
      </c>
      <c r="E10" s="206" t="s">
        <v>33</v>
      </c>
      <c r="F10" s="206" t="s">
        <v>159</v>
      </c>
      <c r="G10" s="34" t="s">
        <v>160</v>
      </c>
      <c r="H10" s="35">
        <f>12706583.9</f>
        <v>12706583.9</v>
      </c>
      <c r="I10" s="35">
        <v>9712303.7799999993</v>
      </c>
    </row>
    <row r="11" spans="2:10" ht="23.25">
      <c r="D11" s="36" t="s">
        <v>71</v>
      </c>
      <c r="E11" s="207" t="s">
        <v>33</v>
      </c>
      <c r="F11" s="206" t="s">
        <v>154</v>
      </c>
      <c r="G11" s="34" t="s">
        <v>161</v>
      </c>
      <c r="H11" s="210">
        <v>8065665.6799999997</v>
      </c>
      <c r="I11" s="210">
        <v>8040197.6500000004</v>
      </c>
    </row>
    <row r="12" spans="2:10" ht="24" thickBot="1">
      <c r="B12" s="13"/>
      <c r="C12" s="37"/>
      <c r="D12" s="9"/>
      <c r="E12" s="9"/>
      <c r="F12" s="9"/>
      <c r="G12" s="38" t="s">
        <v>4</v>
      </c>
      <c r="H12" s="209">
        <f>SUM(H6:H11)</f>
        <v>26898479.640000001</v>
      </c>
      <c r="I12" s="208">
        <f>SUM(I5:I11)</f>
        <v>23727271.810000002</v>
      </c>
      <c r="J12" s="9"/>
    </row>
    <row r="13" spans="2:10" ht="21.75" thickTop="1">
      <c r="C13" s="6"/>
      <c r="D13" s="9"/>
      <c r="E13" s="9"/>
      <c r="F13" s="9"/>
      <c r="G13" s="9"/>
      <c r="H13" s="9"/>
      <c r="I13" s="9"/>
      <c r="J13" s="9"/>
    </row>
    <row r="16" spans="2:10">
      <c r="B16" s="13" t="s">
        <v>372</v>
      </c>
      <c r="H16" s="212" t="s">
        <v>321</v>
      </c>
      <c r="I16" s="213" t="s">
        <v>322</v>
      </c>
    </row>
    <row r="17" spans="3:9">
      <c r="C17" s="2" t="s">
        <v>320</v>
      </c>
      <c r="H17" s="3">
        <v>0</v>
      </c>
      <c r="I17" s="3">
        <v>72700</v>
      </c>
    </row>
    <row r="18" spans="3:9" ht="23.25">
      <c r="H18" s="211">
        <v>0</v>
      </c>
      <c r="I18" s="211">
        <v>0</v>
      </c>
    </row>
    <row r="19" spans="3:9" ht="23.25">
      <c r="G19" s="2" t="s">
        <v>4</v>
      </c>
      <c r="H19" s="214">
        <f>SUM(H17:H18)</f>
        <v>0</v>
      </c>
      <c r="I19" s="214">
        <f>SUM(I17:I18)</f>
        <v>72700</v>
      </c>
    </row>
  </sheetData>
  <mergeCells count="3">
    <mergeCell ref="B1:J1"/>
    <mergeCell ref="B2:J2"/>
    <mergeCell ref="B3:J3"/>
  </mergeCells>
  <pageMargins left="0.23622047244094491" right="0" top="0.94488188976377963" bottom="0.74803149606299213" header="0.31496062992125984" footer="0.31496062992125984"/>
  <pageSetup paperSize="9" scale="9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00B050"/>
  </sheetPr>
  <dimension ref="A1:R18"/>
  <sheetViews>
    <sheetView view="pageBreakPreview" zoomScaleSheetLayoutView="100" workbookViewId="0">
      <selection activeCell="D17" sqref="D17"/>
    </sheetView>
  </sheetViews>
  <sheetFormatPr defaultRowHeight="21"/>
  <cols>
    <col min="1" max="1" width="2.5" style="2" customWidth="1"/>
    <col min="2" max="2" width="17.375" style="2" customWidth="1"/>
    <col min="3" max="3" width="8.125" style="2" customWidth="1"/>
    <col min="4" max="4" width="11.625" style="2" customWidth="1"/>
    <col min="5" max="5" width="11.25" style="2" customWidth="1"/>
    <col min="6" max="6" width="8.125" style="2" customWidth="1"/>
    <col min="7" max="7" width="11.5" style="2" customWidth="1"/>
    <col min="8" max="8" width="11.25" style="2" customWidth="1"/>
    <col min="9" max="9" width="9" style="2"/>
    <col min="10" max="11" width="10.375" style="2" bestFit="1" customWidth="1"/>
    <col min="12" max="12" width="9" style="2"/>
    <col min="13" max="13" width="10.375" style="2" bestFit="1" customWidth="1"/>
    <col min="14" max="16384" width="9" style="2"/>
  </cols>
  <sheetData>
    <row r="1" spans="1:18">
      <c r="A1" s="373" t="s">
        <v>127</v>
      </c>
      <c r="B1" s="373"/>
      <c r="C1" s="373"/>
      <c r="D1" s="373"/>
      <c r="E1" s="373"/>
      <c r="F1" s="373"/>
      <c r="G1" s="373"/>
      <c r="H1" s="373"/>
      <c r="K1" s="15"/>
    </row>
    <row r="2" spans="1:18">
      <c r="A2" s="373" t="s">
        <v>35</v>
      </c>
      <c r="B2" s="373"/>
      <c r="C2" s="373"/>
      <c r="D2" s="373"/>
      <c r="E2" s="373"/>
      <c r="F2" s="373"/>
      <c r="G2" s="373"/>
      <c r="H2" s="373"/>
    </row>
    <row r="3" spans="1:18">
      <c r="A3" s="373" t="s">
        <v>212</v>
      </c>
      <c r="B3" s="373"/>
      <c r="C3" s="373"/>
      <c r="D3" s="373"/>
      <c r="E3" s="373"/>
      <c r="F3" s="373"/>
      <c r="G3" s="373"/>
      <c r="H3" s="373"/>
    </row>
    <row r="4" spans="1:18">
      <c r="B4" s="14"/>
      <c r="C4" s="14"/>
      <c r="D4" s="14"/>
      <c r="E4" s="14"/>
      <c r="F4" s="184"/>
      <c r="G4" s="184"/>
      <c r="H4" s="184"/>
    </row>
    <row r="5" spans="1:18" ht="25.5" customHeight="1">
      <c r="B5" s="13" t="s">
        <v>373</v>
      </c>
    </row>
    <row r="6" spans="1:18" ht="25.5" customHeight="1">
      <c r="B6" s="386" t="s">
        <v>73</v>
      </c>
      <c r="C6" s="385" t="s">
        <v>307</v>
      </c>
      <c r="D6" s="385"/>
      <c r="E6" s="385"/>
      <c r="F6" s="385" t="s">
        <v>319</v>
      </c>
      <c r="G6" s="385"/>
      <c r="H6" s="385"/>
    </row>
    <row r="7" spans="1:18">
      <c r="B7" s="386"/>
      <c r="C7" s="188" t="s">
        <v>74</v>
      </c>
      <c r="D7" s="188" t="s">
        <v>75</v>
      </c>
      <c r="E7" s="188" t="s">
        <v>7</v>
      </c>
      <c r="F7" s="188" t="s">
        <v>74</v>
      </c>
      <c r="G7" s="188" t="s">
        <v>75</v>
      </c>
      <c r="H7" s="188" t="s">
        <v>7</v>
      </c>
      <c r="K7" s="2" t="s">
        <v>299</v>
      </c>
      <c r="L7" s="5" t="s">
        <v>300</v>
      </c>
      <c r="M7" s="2" t="s">
        <v>297</v>
      </c>
      <c r="N7" s="2" t="s">
        <v>298</v>
      </c>
      <c r="O7" s="2" t="s">
        <v>301</v>
      </c>
      <c r="P7" s="2" t="s">
        <v>302</v>
      </c>
      <c r="Q7" s="2" t="s">
        <v>303</v>
      </c>
      <c r="R7" s="2" t="s">
        <v>304</v>
      </c>
    </row>
    <row r="8" spans="1:18">
      <c r="B8" s="25" t="s">
        <v>117</v>
      </c>
      <c r="C8" s="45">
        <v>2554</v>
      </c>
      <c r="D8" s="46">
        <v>14</v>
      </c>
      <c r="E8" s="42">
        <f>873*94/100</f>
        <v>820.62</v>
      </c>
      <c r="F8" s="45">
        <v>2554</v>
      </c>
      <c r="G8" s="46">
        <v>16</v>
      </c>
      <c r="H8" s="42">
        <v>884.54</v>
      </c>
      <c r="J8" s="51"/>
      <c r="K8" s="2">
        <v>34</v>
      </c>
      <c r="L8" s="47">
        <v>34</v>
      </c>
      <c r="M8" s="2">
        <v>70</v>
      </c>
      <c r="N8" s="2">
        <v>38</v>
      </c>
      <c r="O8" s="2">
        <v>38</v>
      </c>
      <c r="P8" s="2">
        <v>38</v>
      </c>
      <c r="Q8" s="2">
        <v>48</v>
      </c>
      <c r="R8" s="2">
        <v>35</v>
      </c>
    </row>
    <row r="9" spans="1:18">
      <c r="B9" s="25"/>
      <c r="C9" s="45">
        <v>2555</v>
      </c>
      <c r="D9" s="46">
        <v>16</v>
      </c>
      <c r="E9" s="42">
        <f>1107*94/100</f>
        <v>1040.58</v>
      </c>
      <c r="F9" s="45">
        <v>2555</v>
      </c>
      <c r="G9" s="46">
        <v>17</v>
      </c>
      <c r="H9" s="42">
        <v>1069.72</v>
      </c>
      <c r="J9" s="51"/>
      <c r="K9" s="2">
        <v>59</v>
      </c>
      <c r="L9" s="47">
        <v>59</v>
      </c>
      <c r="M9" s="2">
        <v>34</v>
      </c>
      <c r="N9" s="2">
        <v>135</v>
      </c>
      <c r="P9" s="2">
        <v>135</v>
      </c>
      <c r="Q9" s="2">
        <v>38</v>
      </c>
      <c r="R9" s="2">
        <v>51</v>
      </c>
    </row>
    <row r="10" spans="1:18">
      <c r="B10" s="25"/>
      <c r="C10" s="45">
        <v>2556</v>
      </c>
      <c r="D10" s="46">
        <v>28</v>
      </c>
      <c r="E10" s="42">
        <f>1908*94/100</f>
        <v>1793.52</v>
      </c>
      <c r="F10" s="45">
        <v>2556</v>
      </c>
      <c r="G10" s="46">
        <v>34</v>
      </c>
      <c r="H10" s="42">
        <v>2125.34</v>
      </c>
      <c r="J10" s="51"/>
      <c r="K10" s="2">
        <v>128</v>
      </c>
      <c r="L10" s="47">
        <v>50</v>
      </c>
      <c r="M10" s="2">
        <v>38</v>
      </c>
      <c r="P10" s="2">
        <v>42</v>
      </c>
      <c r="Q10" s="2">
        <v>139</v>
      </c>
      <c r="R10" s="2">
        <v>109</v>
      </c>
    </row>
    <row r="11" spans="1:18">
      <c r="B11" s="25"/>
      <c r="C11" s="45">
        <v>2557</v>
      </c>
      <c r="D11" s="46">
        <v>4</v>
      </c>
      <c r="E11" s="42">
        <f>267*94/100</f>
        <v>250.98</v>
      </c>
      <c r="F11" s="45">
        <v>2557</v>
      </c>
      <c r="G11" s="46">
        <v>8</v>
      </c>
      <c r="H11" s="42">
        <v>592.20000000000005</v>
      </c>
      <c r="J11" s="51"/>
      <c r="L11" s="47">
        <v>128</v>
      </c>
      <c r="M11" s="2">
        <v>80</v>
      </c>
      <c r="P11" s="2">
        <v>67</v>
      </c>
      <c r="Q11" s="2">
        <v>42</v>
      </c>
      <c r="R11" s="2">
        <v>33</v>
      </c>
    </row>
    <row r="12" spans="1:18">
      <c r="B12" s="25"/>
      <c r="C12" s="45">
        <v>2558</v>
      </c>
      <c r="D12" s="46">
        <v>3</v>
      </c>
      <c r="E12" s="42">
        <f>175*94/100</f>
        <v>164.5</v>
      </c>
      <c r="F12" s="45">
        <v>2558</v>
      </c>
      <c r="G12" s="46">
        <v>5</v>
      </c>
      <c r="H12" s="42">
        <v>278.24</v>
      </c>
      <c r="J12" s="51"/>
      <c r="L12" s="47">
        <v>202</v>
      </c>
      <c r="M12" s="2">
        <v>58</v>
      </c>
      <c r="P12" s="2">
        <v>344</v>
      </c>
      <c r="Q12" s="2">
        <v>40</v>
      </c>
      <c r="R12" s="2">
        <v>33</v>
      </c>
    </row>
    <row r="13" spans="1:18">
      <c r="B13" s="41"/>
      <c r="C13" s="45">
        <v>2559</v>
      </c>
      <c r="D13" s="46">
        <v>15</v>
      </c>
      <c r="E13" s="42">
        <f>1355*94/100</f>
        <v>1273.7</v>
      </c>
      <c r="F13" s="45">
        <v>2559</v>
      </c>
      <c r="G13" s="46">
        <v>22</v>
      </c>
      <c r="H13" s="42">
        <v>2157.3000000000002</v>
      </c>
      <c r="J13" s="51"/>
      <c r="K13" s="51"/>
      <c r="L13" s="47"/>
      <c r="M13" s="51">
        <v>59</v>
      </c>
      <c r="P13" s="2">
        <v>92</v>
      </c>
      <c r="Q13" s="2">
        <v>67</v>
      </c>
      <c r="R13" s="2">
        <v>42</v>
      </c>
    </row>
    <row r="14" spans="1:18">
      <c r="B14" s="41"/>
      <c r="C14" s="45">
        <v>2560</v>
      </c>
      <c r="D14" s="46">
        <v>19</v>
      </c>
      <c r="E14" s="42">
        <f>1577*94/100</f>
        <v>1482.38</v>
      </c>
      <c r="F14" s="45">
        <v>2560</v>
      </c>
      <c r="G14" s="46">
        <v>50</v>
      </c>
      <c r="H14" s="42">
        <v>5368.34</v>
      </c>
      <c r="K14" s="51"/>
      <c r="L14" s="47"/>
      <c r="M14" s="2">
        <v>43</v>
      </c>
      <c r="Q14" s="2">
        <v>344</v>
      </c>
      <c r="R14" s="2">
        <v>57</v>
      </c>
    </row>
    <row r="15" spans="1:18">
      <c r="B15" s="49"/>
      <c r="C15" s="182">
        <v>2561</v>
      </c>
      <c r="D15" s="182">
        <v>33</v>
      </c>
      <c r="E15" s="48">
        <f>2118*94/100</f>
        <v>1990.92</v>
      </c>
      <c r="F15" s="182"/>
      <c r="G15" s="182"/>
      <c r="H15" s="48"/>
      <c r="M15" s="2">
        <v>50</v>
      </c>
      <c r="Q15" s="2">
        <v>92</v>
      </c>
      <c r="R15" s="2">
        <v>34</v>
      </c>
    </row>
    <row r="16" spans="1:18" ht="21.75" thickBot="1">
      <c r="B16" s="50"/>
      <c r="C16" s="44" t="s">
        <v>5</v>
      </c>
      <c r="D16" s="44">
        <f>SUM(D8:D15)</f>
        <v>132</v>
      </c>
      <c r="E16" s="307">
        <f>SUM(E8:E15)</f>
        <v>8817.2000000000007</v>
      </c>
      <c r="F16" s="188" t="s">
        <v>5</v>
      </c>
      <c r="G16" s="188">
        <f>SUM(G8:G15)</f>
        <v>152</v>
      </c>
      <c r="H16" s="307">
        <f>SUM(H8:H15)</f>
        <v>12475.68</v>
      </c>
      <c r="M16" s="2">
        <v>128</v>
      </c>
      <c r="R16" s="2">
        <v>44</v>
      </c>
    </row>
    <row r="17" spans="13:18" ht="21.75" thickTop="1">
      <c r="M17" s="2">
        <v>76</v>
      </c>
      <c r="R17" s="2">
        <v>135</v>
      </c>
    </row>
    <row r="18" spans="13:18">
      <c r="R18" s="2">
        <v>57</v>
      </c>
    </row>
  </sheetData>
  <mergeCells count="6">
    <mergeCell ref="C6:E6"/>
    <mergeCell ref="F6:H6"/>
    <mergeCell ref="B6:B7"/>
    <mergeCell ref="A2:H2"/>
    <mergeCell ref="A1:H1"/>
    <mergeCell ref="A3:H3"/>
  </mergeCells>
  <pageMargins left="0.82" right="0.41" top="0.44" bottom="0.74803149606299213" header="0.31496062992125984" footer="0.31496062992125984"/>
  <pageSetup paperSize="9" scale="9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00B050"/>
  </sheetPr>
  <dimension ref="A1:F63"/>
  <sheetViews>
    <sheetView view="pageBreakPreview" topLeftCell="A37" zoomScaleSheetLayoutView="100" workbookViewId="0">
      <selection activeCell="B27" sqref="B27"/>
    </sheetView>
  </sheetViews>
  <sheetFormatPr defaultRowHeight="21"/>
  <cols>
    <col min="1" max="1" width="26.375" style="2" customWidth="1"/>
    <col min="2" max="2" width="37.875" style="2" customWidth="1"/>
    <col min="3" max="3" width="16" style="2" customWidth="1"/>
    <col min="4" max="16384" width="9" style="2"/>
  </cols>
  <sheetData>
    <row r="1" spans="1:6">
      <c r="A1" s="373" t="s">
        <v>129</v>
      </c>
      <c r="B1" s="373"/>
      <c r="C1" s="373"/>
      <c r="D1" s="4"/>
      <c r="E1" s="4"/>
      <c r="F1" s="4"/>
    </row>
    <row r="2" spans="1:6">
      <c r="A2" s="373" t="s">
        <v>35</v>
      </c>
      <c r="B2" s="373"/>
      <c r="C2" s="373"/>
      <c r="D2" s="4"/>
      <c r="E2" s="4"/>
      <c r="F2" s="4"/>
    </row>
    <row r="3" spans="1:6">
      <c r="A3" s="373" t="s">
        <v>212</v>
      </c>
      <c r="B3" s="373"/>
      <c r="C3" s="373"/>
      <c r="D3" s="4"/>
      <c r="E3" s="4"/>
      <c r="F3" s="4"/>
    </row>
    <row r="4" spans="1:6" ht="15" customHeight="1"/>
    <row r="5" spans="1:6">
      <c r="A5" s="13" t="s">
        <v>374</v>
      </c>
    </row>
    <row r="6" spans="1:6">
      <c r="A6" s="13" t="s">
        <v>307</v>
      </c>
    </row>
    <row r="7" spans="1:6">
      <c r="A7" s="44" t="s">
        <v>122</v>
      </c>
      <c r="B7" s="44" t="s">
        <v>123</v>
      </c>
      <c r="C7" s="44" t="s">
        <v>7</v>
      </c>
    </row>
    <row r="8" spans="1:6">
      <c r="A8" s="52" t="s">
        <v>162</v>
      </c>
      <c r="B8" s="52" t="s">
        <v>163</v>
      </c>
      <c r="C8" s="53">
        <v>27083</v>
      </c>
    </row>
    <row r="9" spans="1:6">
      <c r="A9" s="54" t="s">
        <v>164</v>
      </c>
      <c r="B9" s="54" t="s">
        <v>165</v>
      </c>
      <c r="C9" s="55">
        <v>17113.5</v>
      </c>
    </row>
    <row r="10" spans="1:6">
      <c r="A10" s="54" t="s">
        <v>166</v>
      </c>
      <c r="B10" s="54" t="s">
        <v>167</v>
      </c>
      <c r="C10" s="55">
        <v>12500</v>
      </c>
    </row>
    <row r="11" spans="1:6">
      <c r="A11" s="54" t="s">
        <v>168</v>
      </c>
      <c r="B11" s="54" t="s">
        <v>169</v>
      </c>
      <c r="C11" s="55">
        <v>38220</v>
      </c>
    </row>
    <row r="12" spans="1:6">
      <c r="A12" s="54" t="s">
        <v>170</v>
      </c>
      <c r="B12" s="54" t="s">
        <v>171</v>
      </c>
      <c r="C12" s="55">
        <v>74875</v>
      </c>
    </row>
    <row r="13" spans="1:6">
      <c r="A13" s="54" t="s">
        <v>172</v>
      </c>
      <c r="B13" s="54" t="s">
        <v>173</v>
      </c>
      <c r="C13" s="55">
        <v>24000</v>
      </c>
    </row>
    <row r="14" spans="1:6">
      <c r="A14" s="54" t="s">
        <v>174</v>
      </c>
      <c r="B14" s="54" t="s">
        <v>175</v>
      </c>
      <c r="C14" s="55">
        <v>100000</v>
      </c>
    </row>
    <row r="15" spans="1:6">
      <c r="A15" s="54" t="s">
        <v>176</v>
      </c>
      <c r="B15" s="54" t="s">
        <v>405</v>
      </c>
      <c r="C15" s="55">
        <v>77000</v>
      </c>
    </row>
    <row r="16" spans="1:6">
      <c r="A16" s="54" t="s">
        <v>177</v>
      </c>
      <c r="B16" s="54" t="s">
        <v>178</v>
      </c>
      <c r="C16" s="55">
        <v>40000</v>
      </c>
    </row>
    <row r="17" spans="1:3">
      <c r="A17" s="54" t="s">
        <v>286</v>
      </c>
      <c r="B17" s="54" t="s">
        <v>179</v>
      </c>
      <c r="C17" s="55">
        <v>40000</v>
      </c>
    </row>
    <row r="18" spans="1:3">
      <c r="A18" s="54" t="s">
        <v>287</v>
      </c>
      <c r="B18" s="54" t="s">
        <v>180</v>
      </c>
      <c r="C18" s="55">
        <v>80000</v>
      </c>
    </row>
    <row r="19" spans="1:3">
      <c r="A19" s="54" t="s">
        <v>288</v>
      </c>
      <c r="B19" s="54" t="s">
        <v>181</v>
      </c>
      <c r="C19" s="55">
        <v>100000</v>
      </c>
    </row>
    <row r="20" spans="1:3">
      <c r="A20" s="54" t="s">
        <v>289</v>
      </c>
      <c r="B20" s="54" t="s">
        <v>182</v>
      </c>
      <c r="C20" s="55">
        <v>100000</v>
      </c>
    </row>
    <row r="21" spans="1:3">
      <c r="A21" s="54" t="s">
        <v>290</v>
      </c>
      <c r="B21" s="54" t="s">
        <v>183</v>
      </c>
      <c r="C21" s="55">
        <v>60000</v>
      </c>
    </row>
    <row r="22" spans="1:3">
      <c r="A22" s="54" t="s">
        <v>291</v>
      </c>
      <c r="B22" s="54" t="s">
        <v>184</v>
      </c>
      <c r="C22" s="55">
        <v>100000</v>
      </c>
    </row>
    <row r="23" spans="1:3">
      <c r="A23" s="54" t="s">
        <v>292</v>
      </c>
      <c r="B23" s="54" t="s">
        <v>185</v>
      </c>
      <c r="C23" s="55">
        <v>80000</v>
      </c>
    </row>
    <row r="24" spans="1:3">
      <c r="A24" s="54" t="s">
        <v>293</v>
      </c>
      <c r="B24" s="54" t="s">
        <v>186</v>
      </c>
      <c r="C24" s="55">
        <v>80000</v>
      </c>
    </row>
    <row r="25" spans="1:3">
      <c r="A25" s="54" t="s">
        <v>294</v>
      </c>
      <c r="B25" s="54" t="s">
        <v>187</v>
      </c>
      <c r="C25" s="55">
        <v>80000</v>
      </c>
    </row>
    <row r="26" spans="1:3">
      <c r="A26" s="171" t="s">
        <v>295</v>
      </c>
      <c r="B26" s="171" t="s">
        <v>188</v>
      </c>
      <c r="C26" s="172">
        <v>100000</v>
      </c>
    </row>
    <row r="27" spans="1:3">
      <c r="A27" s="171" t="s">
        <v>296</v>
      </c>
      <c r="B27" s="171" t="s">
        <v>189</v>
      </c>
      <c r="C27" s="172">
        <v>80000</v>
      </c>
    </row>
    <row r="28" spans="1:3" ht="19.5" customHeight="1">
      <c r="A28" s="56"/>
      <c r="B28" s="56"/>
      <c r="C28" s="57"/>
    </row>
    <row r="29" spans="1:3" ht="21.75" thickBot="1">
      <c r="A29" s="387" t="s">
        <v>4</v>
      </c>
      <c r="B29" s="387"/>
      <c r="C29" s="308">
        <f>SUM(C8:C28)</f>
        <v>1310791.5</v>
      </c>
    </row>
    <row r="30" spans="1:3" ht="21.75" thickTop="1"/>
    <row r="37" spans="1:3">
      <c r="A37" s="13" t="s">
        <v>375</v>
      </c>
    </row>
    <row r="38" spans="1:3">
      <c r="A38" s="2" t="s">
        <v>319</v>
      </c>
    </row>
    <row r="39" spans="1:3">
      <c r="A39" s="188" t="s">
        <v>122</v>
      </c>
      <c r="B39" s="188" t="s">
        <v>123</v>
      </c>
      <c r="C39" s="188" t="s">
        <v>7</v>
      </c>
    </row>
    <row r="40" spans="1:3">
      <c r="A40" s="52" t="s">
        <v>162</v>
      </c>
      <c r="B40" s="52" t="s">
        <v>163</v>
      </c>
      <c r="C40" s="53">
        <v>14840</v>
      </c>
    </row>
    <row r="41" spans="1:3">
      <c r="A41" s="54" t="s">
        <v>164</v>
      </c>
      <c r="B41" s="54" t="s">
        <v>165</v>
      </c>
      <c r="C41" s="55">
        <v>11569</v>
      </c>
    </row>
    <row r="42" spans="1:3">
      <c r="A42" s="54" t="s">
        <v>166</v>
      </c>
      <c r="B42" s="54" t="s">
        <v>167</v>
      </c>
      <c r="C42" s="55">
        <v>12500</v>
      </c>
    </row>
    <row r="43" spans="1:3">
      <c r="A43" s="54" t="s">
        <v>168</v>
      </c>
      <c r="B43" s="54" t="s">
        <v>169</v>
      </c>
      <c r="C43" s="55">
        <v>38220</v>
      </c>
    </row>
    <row r="44" spans="1:3">
      <c r="A44" s="54" t="s">
        <v>170</v>
      </c>
      <c r="B44" s="54" t="s">
        <v>171</v>
      </c>
      <c r="C44" s="55">
        <v>74875</v>
      </c>
    </row>
    <row r="45" spans="1:3">
      <c r="A45" s="54" t="s">
        <v>172</v>
      </c>
      <c r="B45" s="54" t="s">
        <v>173</v>
      </c>
      <c r="C45" s="55">
        <v>24000</v>
      </c>
    </row>
    <row r="46" spans="1:3">
      <c r="A46" s="54" t="s">
        <v>174</v>
      </c>
      <c r="B46" s="54" t="s">
        <v>175</v>
      </c>
      <c r="C46" s="55">
        <v>100000</v>
      </c>
    </row>
    <row r="47" spans="1:3">
      <c r="A47" s="54" t="s">
        <v>176</v>
      </c>
      <c r="B47" s="54" t="s">
        <v>405</v>
      </c>
      <c r="C47" s="55">
        <v>80000</v>
      </c>
    </row>
    <row r="48" spans="1:3">
      <c r="A48" s="54" t="s">
        <v>177</v>
      </c>
      <c r="B48" s="54" t="s">
        <v>178</v>
      </c>
      <c r="C48" s="55">
        <v>60000</v>
      </c>
    </row>
    <row r="49" spans="1:3">
      <c r="A49" s="54" t="s">
        <v>323</v>
      </c>
      <c r="B49" s="54" t="s">
        <v>324</v>
      </c>
      <c r="C49" s="55">
        <v>40000</v>
      </c>
    </row>
    <row r="50" spans="1:3">
      <c r="A50" s="54" t="s">
        <v>325</v>
      </c>
      <c r="B50" s="54" t="s">
        <v>326</v>
      </c>
      <c r="C50" s="55">
        <v>20000</v>
      </c>
    </row>
    <row r="51" spans="1:3">
      <c r="A51" s="54" t="s">
        <v>327</v>
      </c>
      <c r="B51" s="54" t="s">
        <v>179</v>
      </c>
      <c r="C51" s="55">
        <v>60000</v>
      </c>
    </row>
    <row r="52" spans="1:3">
      <c r="A52" s="54" t="s">
        <v>328</v>
      </c>
      <c r="B52" s="54" t="s">
        <v>180</v>
      </c>
      <c r="C52" s="55">
        <v>80000</v>
      </c>
    </row>
    <row r="53" spans="1:3">
      <c r="A53" s="54" t="s">
        <v>329</v>
      </c>
      <c r="B53" s="54" t="s">
        <v>181</v>
      </c>
      <c r="C53" s="55">
        <v>100000</v>
      </c>
    </row>
    <row r="54" spans="1:3">
      <c r="A54" s="54" t="s">
        <v>330</v>
      </c>
      <c r="B54" s="54" t="s">
        <v>182</v>
      </c>
      <c r="C54" s="55">
        <v>100000</v>
      </c>
    </row>
    <row r="55" spans="1:3">
      <c r="A55" s="54" t="s">
        <v>331</v>
      </c>
      <c r="B55" s="54" t="s">
        <v>183</v>
      </c>
      <c r="C55" s="55">
        <v>80000</v>
      </c>
    </row>
    <row r="56" spans="1:3">
      <c r="A56" s="54" t="s">
        <v>332</v>
      </c>
      <c r="B56" s="54" t="s">
        <v>184</v>
      </c>
      <c r="C56" s="55">
        <v>100000</v>
      </c>
    </row>
    <row r="57" spans="1:3">
      <c r="A57" s="54" t="s">
        <v>333</v>
      </c>
      <c r="B57" s="54" t="s">
        <v>185</v>
      </c>
      <c r="C57" s="55">
        <v>100000</v>
      </c>
    </row>
    <row r="58" spans="1:3">
      <c r="A58" s="54" t="s">
        <v>334</v>
      </c>
      <c r="B58" s="54" t="s">
        <v>186</v>
      </c>
      <c r="C58" s="55">
        <v>100000</v>
      </c>
    </row>
    <row r="59" spans="1:3">
      <c r="A59" s="54" t="s">
        <v>335</v>
      </c>
      <c r="B59" s="54" t="s">
        <v>187</v>
      </c>
      <c r="C59" s="55">
        <v>100000</v>
      </c>
    </row>
    <row r="60" spans="1:3">
      <c r="A60" s="171" t="s">
        <v>336</v>
      </c>
      <c r="B60" s="171" t="s">
        <v>188</v>
      </c>
      <c r="C60" s="172">
        <v>100000</v>
      </c>
    </row>
    <row r="61" spans="1:3">
      <c r="A61" s="171" t="s">
        <v>337</v>
      </c>
      <c r="B61" s="171" t="s">
        <v>189</v>
      </c>
      <c r="C61" s="172">
        <v>100000</v>
      </c>
    </row>
    <row r="62" spans="1:3" ht="19.5" customHeight="1">
      <c r="A62" s="56"/>
      <c r="B62" s="56"/>
      <c r="C62" s="57"/>
    </row>
    <row r="63" spans="1:3">
      <c r="A63" s="387" t="s">
        <v>4</v>
      </c>
      <c r="B63" s="387"/>
      <c r="C63" s="58">
        <f>SUM(C40:C62)</f>
        <v>1496004</v>
      </c>
    </row>
  </sheetData>
  <mergeCells count="5">
    <mergeCell ref="A1:C1"/>
    <mergeCell ref="A2:C2"/>
    <mergeCell ref="A3:C3"/>
    <mergeCell ref="A29:B29"/>
    <mergeCell ref="A63:B63"/>
  </mergeCells>
  <pageMargins left="0.70866141732283472" right="0.70866141732283472" top="0.55118110236220474" bottom="0.55118110236220474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00B050"/>
  </sheetPr>
  <dimension ref="A1:H62"/>
  <sheetViews>
    <sheetView view="pageBreakPreview" zoomScale="60" workbookViewId="0">
      <selection activeCell="D23" sqref="D23"/>
    </sheetView>
  </sheetViews>
  <sheetFormatPr defaultRowHeight="21"/>
  <cols>
    <col min="1" max="1" width="20.25" style="6" customWidth="1"/>
    <col min="2" max="2" width="18.625" style="6" customWidth="1"/>
    <col min="3" max="3" width="29.5" style="6" customWidth="1"/>
    <col min="4" max="4" width="15.125" style="6" customWidth="1"/>
    <col min="5" max="5" width="51.625" style="6" customWidth="1"/>
    <col min="6" max="6" width="45" style="6" customWidth="1"/>
    <col min="7" max="7" width="16.375" style="6" customWidth="1"/>
    <col min="8" max="8" width="13.875" style="6" customWidth="1"/>
    <col min="9" max="16384" width="9" style="6"/>
  </cols>
  <sheetData>
    <row r="1" spans="1:7" ht="25.5" customHeight="1">
      <c r="A1" s="388" t="s">
        <v>130</v>
      </c>
      <c r="B1" s="388"/>
      <c r="C1" s="388"/>
      <c r="D1" s="388"/>
      <c r="E1" s="388"/>
      <c r="F1" s="388"/>
      <c r="G1" s="388"/>
    </row>
    <row r="2" spans="1:7" ht="25.5" customHeight="1">
      <c r="A2" s="388" t="s">
        <v>35</v>
      </c>
      <c r="B2" s="388"/>
      <c r="C2" s="388"/>
      <c r="D2" s="388"/>
      <c r="E2" s="388"/>
      <c r="F2" s="388"/>
      <c r="G2" s="388"/>
    </row>
    <row r="3" spans="1:7" ht="25.5" customHeight="1">
      <c r="A3" s="388" t="s">
        <v>212</v>
      </c>
      <c r="B3" s="388"/>
      <c r="C3" s="388"/>
      <c r="D3" s="388"/>
      <c r="E3" s="388"/>
      <c r="F3" s="388"/>
      <c r="G3" s="388"/>
    </row>
    <row r="4" spans="1:7" s="59" customFormat="1" ht="25.5" customHeight="1">
      <c r="A4" s="215" t="s">
        <v>376</v>
      </c>
      <c r="B4" s="180"/>
      <c r="C4" s="180"/>
      <c r="D4" s="180"/>
      <c r="E4" s="180"/>
      <c r="F4" s="60"/>
      <c r="G4" s="180"/>
    </row>
    <row r="5" spans="1:7" s="59" customFormat="1" ht="25.5" customHeight="1">
      <c r="A5" s="215" t="s">
        <v>307</v>
      </c>
      <c r="B5" s="180"/>
      <c r="C5" s="180"/>
      <c r="D5" s="180"/>
      <c r="E5" s="180"/>
      <c r="F5" s="60"/>
      <c r="G5" s="180"/>
    </row>
    <row r="6" spans="1:7" ht="25.5" customHeight="1">
      <c r="A6" s="61" t="s">
        <v>28</v>
      </c>
      <c r="B6" s="61" t="s">
        <v>29</v>
      </c>
      <c r="C6" s="61" t="s">
        <v>30</v>
      </c>
      <c r="D6" s="61" t="s">
        <v>31</v>
      </c>
      <c r="E6" s="61" t="s">
        <v>84</v>
      </c>
      <c r="F6" s="61" t="s">
        <v>32</v>
      </c>
      <c r="G6" s="61" t="s">
        <v>7</v>
      </c>
    </row>
    <row r="7" spans="1:7" ht="42.75" customHeight="1">
      <c r="A7" s="62" t="s">
        <v>34</v>
      </c>
      <c r="B7" s="63" t="s">
        <v>96</v>
      </c>
      <c r="C7" s="64" t="s">
        <v>109</v>
      </c>
      <c r="D7" s="62" t="s">
        <v>58</v>
      </c>
      <c r="E7" s="63" t="s">
        <v>213</v>
      </c>
      <c r="F7" s="63" t="s">
        <v>214</v>
      </c>
      <c r="G7" s="65">
        <v>550</v>
      </c>
    </row>
    <row r="8" spans="1:7" ht="25.5" customHeight="1">
      <c r="A8" s="62" t="s">
        <v>34</v>
      </c>
      <c r="B8" s="63" t="s">
        <v>50</v>
      </c>
      <c r="C8" s="64" t="s">
        <v>196</v>
      </c>
      <c r="D8" s="62" t="s">
        <v>58</v>
      </c>
      <c r="E8" s="63" t="s">
        <v>197</v>
      </c>
      <c r="F8" s="63" t="s">
        <v>197</v>
      </c>
      <c r="G8" s="65">
        <v>274504.44</v>
      </c>
    </row>
    <row r="9" spans="1:7" s="70" customFormat="1" ht="25.5" customHeight="1">
      <c r="A9" s="62" t="s">
        <v>34</v>
      </c>
      <c r="B9" s="63" t="s">
        <v>96</v>
      </c>
      <c r="C9" s="66" t="s">
        <v>109</v>
      </c>
      <c r="D9" s="67" t="s">
        <v>57</v>
      </c>
      <c r="E9" s="63" t="s">
        <v>191</v>
      </c>
      <c r="F9" s="68" t="s">
        <v>215</v>
      </c>
      <c r="G9" s="69">
        <v>7638.2</v>
      </c>
    </row>
    <row r="10" spans="1:7" s="70" customFormat="1" ht="25.5" customHeight="1">
      <c r="A10" s="62" t="s">
        <v>34</v>
      </c>
      <c r="B10" s="63" t="s">
        <v>96</v>
      </c>
      <c r="C10" s="66" t="s">
        <v>109</v>
      </c>
      <c r="D10" s="67" t="s">
        <v>57</v>
      </c>
      <c r="E10" s="63" t="s">
        <v>191</v>
      </c>
      <c r="F10" s="68" t="s">
        <v>193</v>
      </c>
      <c r="G10" s="69">
        <v>7000</v>
      </c>
    </row>
    <row r="11" spans="1:7" s="70" customFormat="1" ht="25.5" customHeight="1">
      <c r="A11" s="62" t="s">
        <v>34</v>
      </c>
      <c r="B11" s="63" t="s">
        <v>96</v>
      </c>
      <c r="C11" s="66" t="s">
        <v>109</v>
      </c>
      <c r="D11" s="67" t="s">
        <v>57</v>
      </c>
      <c r="E11" s="63" t="s">
        <v>191</v>
      </c>
      <c r="F11" s="68" t="s">
        <v>216</v>
      </c>
      <c r="G11" s="69">
        <v>3200</v>
      </c>
    </row>
    <row r="12" spans="1:7" s="70" customFormat="1" ht="25.5" customHeight="1">
      <c r="A12" s="62" t="s">
        <v>34</v>
      </c>
      <c r="B12" s="63" t="s">
        <v>96</v>
      </c>
      <c r="C12" s="66" t="s">
        <v>109</v>
      </c>
      <c r="D12" s="67" t="s">
        <v>57</v>
      </c>
      <c r="E12" s="63" t="s">
        <v>191</v>
      </c>
      <c r="F12" s="68" t="s">
        <v>217</v>
      </c>
      <c r="G12" s="69">
        <v>34650</v>
      </c>
    </row>
    <row r="13" spans="1:7" ht="25.5" customHeight="1">
      <c r="A13" s="62" t="s">
        <v>34</v>
      </c>
      <c r="B13" s="63" t="s">
        <v>96</v>
      </c>
      <c r="C13" s="71" t="s">
        <v>190</v>
      </c>
      <c r="D13" s="72" t="s">
        <v>57</v>
      </c>
      <c r="E13" s="63" t="s">
        <v>191</v>
      </c>
      <c r="F13" s="68" t="s">
        <v>192</v>
      </c>
      <c r="G13" s="73">
        <v>8000</v>
      </c>
    </row>
    <row r="14" spans="1:7" ht="25.5" customHeight="1">
      <c r="A14" s="62" t="s">
        <v>34</v>
      </c>
      <c r="B14" s="63" t="s">
        <v>88</v>
      </c>
      <c r="C14" s="174" t="s">
        <v>218</v>
      </c>
      <c r="D14" s="72" t="s">
        <v>57</v>
      </c>
      <c r="E14" s="63" t="s">
        <v>191</v>
      </c>
      <c r="F14" s="68" t="s">
        <v>219</v>
      </c>
      <c r="G14" s="73">
        <v>16800</v>
      </c>
    </row>
    <row r="15" spans="1:7" ht="41.25" customHeight="1">
      <c r="A15" s="62" t="s">
        <v>34</v>
      </c>
      <c r="B15" s="63" t="s">
        <v>88</v>
      </c>
      <c r="C15" s="64" t="s">
        <v>199</v>
      </c>
      <c r="D15" s="72" t="s">
        <v>57</v>
      </c>
      <c r="E15" s="63" t="s">
        <v>191</v>
      </c>
      <c r="F15" s="177" t="s">
        <v>220</v>
      </c>
      <c r="G15" s="73">
        <v>7350</v>
      </c>
    </row>
    <row r="16" spans="1:7" ht="42" customHeight="1">
      <c r="A16" s="62" t="s">
        <v>34</v>
      </c>
      <c r="B16" s="173" t="s">
        <v>50</v>
      </c>
      <c r="C16" s="64" t="s">
        <v>196</v>
      </c>
      <c r="D16" s="72" t="s">
        <v>57</v>
      </c>
      <c r="E16" s="63" t="s">
        <v>221</v>
      </c>
      <c r="F16" s="177" t="s">
        <v>222</v>
      </c>
      <c r="G16" s="73">
        <v>248200</v>
      </c>
    </row>
    <row r="17" spans="1:8" ht="23.25" customHeight="1">
      <c r="A17" s="62" t="s">
        <v>34</v>
      </c>
      <c r="B17" s="173" t="s">
        <v>96</v>
      </c>
      <c r="C17" s="174" t="s">
        <v>109</v>
      </c>
      <c r="D17" s="72" t="s">
        <v>3</v>
      </c>
      <c r="E17" s="309" t="s">
        <v>223</v>
      </c>
      <c r="F17" s="177" t="s">
        <v>224</v>
      </c>
      <c r="G17" s="73">
        <v>415730</v>
      </c>
    </row>
    <row r="18" spans="1:8" ht="23.25" customHeight="1">
      <c r="A18" s="62" t="s">
        <v>34</v>
      </c>
      <c r="B18" s="173" t="s">
        <v>96</v>
      </c>
      <c r="C18" s="174" t="s">
        <v>190</v>
      </c>
      <c r="D18" s="72" t="s">
        <v>3</v>
      </c>
      <c r="E18" s="309" t="s">
        <v>223</v>
      </c>
      <c r="F18" s="177" t="s">
        <v>225</v>
      </c>
      <c r="G18" s="73">
        <v>125640</v>
      </c>
    </row>
    <row r="19" spans="1:8" ht="23.25" customHeight="1">
      <c r="A19" s="62" t="s">
        <v>34</v>
      </c>
      <c r="B19" s="173" t="s">
        <v>88</v>
      </c>
      <c r="C19" s="311" t="s">
        <v>199</v>
      </c>
      <c r="D19" s="72" t="s">
        <v>3</v>
      </c>
      <c r="E19" s="309" t="s">
        <v>223</v>
      </c>
      <c r="F19" s="177" t="s">
        <v>226</v>
      </c>
      <c r="G19" s="73">
        <v>82290</v>
      </c>
    </row>
    <row r="20" spans="1:8" ht="23.25" customHeight="1">
      <c r="A20" s="62" t="s">
        <v>34</v>
      </c>
      <c r="B20" s="173" t="s">
        <v>98</v>
      </c>
      <c r="C20" s="311" t="s">
        <v>227</v>
      </c>
      <c r="D20" s="72" t="s">
        <v>3</v>
      </c>
      <c r="E20" s="309" t="s">
        <v>223</v>
      </c>
      <c r="F20" s="177" t="s">
        <v>228</v>
      </c>
      <c r="G20" s="73">
        <v>43120</v>
      </c>
      <c r="H20" s="181"/>
    </row>
    <row r="21" spans="1:8" ht="34.5" customHeight="1">
      <c r="A21" s="62" t="s">
        <v>34</v>
      </c>
      <c r="B21" s="173" t="s">
        <v>88</v>
      </c>
      <c r="C21" s="311" t="s">
        <v>199</v>
      </c>
      <c r="D21" s="175" t="s">
        <v>57</v>
      </c>
      <c r="E21" s="176" t="s">
        <v>229</v>
      </c>
      <c r="F21" s="177" t="s">
        <v>230</v>
      </c>
      <c r="G21" s="73">
        <v>88300</v>
      </c>
    </row>
    <row r="22" spans="1:8" ht="48" customHeight="1">
      <c r="A22" s="62" t="s">
        <v>34</v>
      </c>
      <c r="B22" s="173" t="s">
        <v>88</v>
      </c>
      <c r="C22" s="311" t="s">
        <v>199</v>
      </c>
      <c r="D22" s="175" t="s">
        <v>57</v>
      </c>
      <c r="E22" s="176" t="s">
        <v>229</v>
      </c>
      <c r="F22" s="177" t="s">
        <v>231</v>
      </c>
      <c r="G22" s="73">
        <v>37000</v>
      </c>
    </row>
    <row r="23" spans="1:8" ht="23.25" customHeight="1">
      <c r="A23" s="62" t="s">
        <v>34</v>
      </c>
      <c r="B23" s="173" t="s">
        <v>96</v>
      </c>
      <c r="C23" s="174" t="s">
        <v>109</v>
      </c>
      <c r="D23" s="175" t="s">
        <v>57</v>
      </c>
      <c r="E23" s="176" t="s">
        <v>229</v>
      </c>
      <c r="F23" s="177" t="s">
        <v>232</v>
      </c>
      <c r="G23" s="73">
        <v>33400</v>
      </c>
    </row>
    <row r="24" spans="1:8" ht="23.25" customHeight="1">
      <c r="A24" s="62" t="s">
        <v>34</v>
      </c>
      <c r="B24" s="173" t="s">
        <v>96</v>
      </c>
      <c r="C24" s="174" t="s">
        <v>109</v>
      </c>
      <c r="D24" s="175" t="s">
        <v>57</v>
      </c>
      <c r="E24" s="176" t="s">
        <v>229</v>
      </c>
      <c r="F24" s="177" t="s">
        <v>233</v>
      </c>
      <c r="G24" s="73">
        <v>41000</v>
      </c>
    </row>
    <row r="25" spans="1:8" ht="23.25" customHeight="1" thickBot="1">
      <c r="A25" s="74"/>
      <c r="B25" s="74"/>
      <c r="C25" s="74"/>
      <c r="D25" s="74"/>
      <c r="E25" s="74"/>
      <c r="F25" s="61" t="s">
        <v>4</v>
      </c>
      <c r="G25" s="310">
        <f>SUM(G7:G24)</f>
        <v>1474372.6400000001</v>
      </c>
    </row>
    <row r="26" spans="1:8" ht="25.5" customHeight="1" thickTop="1">
      <c r="A26" s="34"/>
      <c r="B26" s="34"/>
      <c r="C26" s="34"/>
      <c r="D26" s="34"/>
      <c r="E26" s="34"/>
      <c r="F26" s="75"/>
      <c r="G26" s="76"/>
    </row>
    <row r="27" spans="1:8" ht="25.5" customHeight="1">
      <c r="A27" s="34"/>
      <c r="B27" s="34"/>
      <c r="C27" s="34"/>
      <c r="D27" s="34"/>
      <c r="E27" s="34"/>
      <c r="F27" s="75"/>
      <c r="G27" s="76"/>
    </row>
    <row r="28" spans="1:8" ht="25.5" customHeight="1">
      <c r="A28" s="34"/>
      <c r="B28" s="34"/>
      <c r="C28" s="34"/>
      <c r="D28" s="34"/>
      <c r="E28" s="34"/>
      <c r="F28" s="75"/>
      <c r="G28" s="76"/>
    </row>
    <row r="29" spans="1:8" ht="25.5" customHeight="1">
      <c r="A29" s="34"/>
      <c r="B29" s="34"/>
      <c r="C29" s="34"/>
      <c r="D29" s="34"/>
      <c r="E29" s="34"/>
      <c r="F29" s="75"/>
      <c r="G29" s="76"/>
    </row>
    <row r="30" spans="1:8" ht="25.5" customHeight="1">
      <c r="A30" s="34"/>
      <c r="B30" s="34"/>
      <c r="C30" s="34"/>
      <c r="D30" s="34"/>
      <c r="E30" s="34"/>
      <c r="F30" s="75"/>
      <c r="G30" s="76"/>
    </row>
    <row r="31" spans="1:8" ht="25.5" customHeight="1">
      <c r="A31" s="34"/>
      <c r="B31" s="34"/>
      <c r="C31" s="34"/>
      <c r="D31" s="34"/>
      <c r="E31" s="34"/>
      <c r="F31" s="75"/>
      <c r="G31" s="76"/>
    </row>
    <row r="32" spans="1:8" ht="25.5" customHeight="1">
      <c r="A32" s="34"/>
      <c r="B32" s="34"/>
      <c r="C32" s="34"/>
      <c r="D32" s="34"/>
      <c r="E32" s="34"/>
      <c r="F32" s="75"/>
      <c r="G32" s="76"/>
    </row>
    <row r="33" spans="1:7" ht="25.5" customHeight="1">
      <c r="A33" s="34"/>
      <c r="B33" s="34"/>
      <c r="C33" s="34"/>
      <c r="D33" s="34"/>
      <c r="E33" s="34"/>
      <c r="F33" s="75"/>
      <c r="G33" s="76"/>
    </row>
    <row r="34" spans="1:7" ht="25.5" customHeight="1">
      <c r="A34" s="215" t="s">
        <v>377</v>
      </c>
      <c r="B34" s="34"/>
      <c r="C34" s="34"/>
      <c r="D34" s="34"/>
      <c r="E34" s="34"/>
      <c r="F34" s="75"/>
      <c r="G34" s="76"/>
    </row>
    <row r="35" spans="1:7" ht="25.5" customHeight="1">
      <c r="A35" s="215" t="s">
        <v>319</v>
      </c>
      <c r="B35" s="34"/>
      <c r="C35" s="34"/>
      <c r="D35" s="34"/>
      <c r="E35" s="34"/>
      <c r="F35" s="75"/>
      <c r="G35" s="76"/>
    </row>
    <row r="36" spans="1:7" ht="25.5" customHeight="1">
      <c r="A36" s="61" t="s">
        <v>28</v>
      </c>
      <c r="B36" s="61" t="s">
        <v>29</v>
      </c>
      <c r="C36" s="61" t="s">
        <v>30</v>
      </c>
      <c r="D36" s="61" t="s">
        <v>31</v>
      </c>
      <c r="E36" s="61" t="s">
        <v>84</v>
      </c>
      <c r="F36" s="61" t="s">
        <v>32</v>
      </c>
      <c r="G36" s="61" t="s">
        <v>7</v>
      </c>
    </row>
    <row r="37" spans="1:7" s="70" customFormat="1" ht="42.75" customHeight="1">
      <c r="A37" s="312" t="s">
        <v>34</v>
      </c>
      <c r="B37" s="313" t="s">
        <v>88</v>
      </c>
      <c r="C37" s="314" t="s">
        <v>338</v>
      </c>
      <c r="D37" s="312" t="s">
        <v>3</v>
      </c>
      <c r="E37" s="313" t="s">
        <v>339</v>
      </c>
      <c r="F37" s="313" t="s">
        <v>339</v>
      </c>
      <c r="G37" s="69">
        <v>5460</v>
      </c>
    </row>
    <row r="38" spans="1:7" ht="25.5" customHeight="1">
      <c r="A38" s="62" t="s">
        <v>34</v>
      </c>
      <c r="B38" s="63" t="s">
        <v>109</v>
      </c>
      <c r="C38" s="64" t="s">
        <v>96</v>
      </c>
      <c r="D38" s="62" t="s">
        <v>3</v>
      </c>
      <c r="E38" s="63" t="s">
        <v>340</v>
      </c>
      <c r="F38" s="63" t="s">
        <v>195</v>
      </c>
      <c r="G38" s="65">
        <v>640160</v>
      </c>
    </row>
    <row r="39" spans="1:7" s="70" customFormat="1" ht="25.5" customHeight="1">
      <c r="A39" s="62" t="s">
        <v>34</v>
      </c>
      <c r="B39" s="63" t="s">
        <v>109</v>
      </c>
      <c r="C39" s="66" t="s">
        <v>190</v>
      </c>
      <c r="D39" s="67" t="s">
        <v>57</v>
      </c>
      <c r="E39" s="63" t="s">
        <v>191</v>
      </c>
      <c r="F39" s="68" t="s">
        <v>192</v>
      </c>
      <c r="G39" s="69">
        <v>7400</v>
      </c>
    </row>
    <row r="40" spans="1:7" ht="25.5" customHeight="1">
      <c r="A40" s="62" t="s">
        <v>34</v>
      </c>
      <c r="B40" s="63" t="s">
        <v>109</v>
      </c>
      <c r="C40" s="71" t="s">
        <v>96</v>
      </c>
      <c r="D40" s="72" t="s">
        <v>57</v>
      </c>
      <c r="E40" s="63" t="s">
        <v>191</v>
      </c>
      <c r="F40" s="68" t="s">
        <v>193</v>
      </c>
      <c r="G40" s="73">
        <v>6300</v>
      </c>
    </row>
    <row r="41" spans="1:7" ht="25.5" customHeight="1">
      <c r="A41" s="62" t="s">
        <v>34</v>
      </c>
      <c r="B41" s="173" t="s">
        <v>88</v>
      </c>
      <c r="C41" s="174" t="s">
        <v>341</v>
      </c>
      <c r="D41" s="72" t="s">
        <v>57</v>
      </c>
      <c r="E41" s="63" t="s">
        <v>191</v>
      </c>
      <c r="F41" s="68" t="s">
        <v>342</v>
      </c>
      <c r="G41" s="73">
        <v>12600</v>
      </c>
    </row>
    <row r="42" spans="1:7" ht="41.25" customHeight="1">
      <c r="A42" s="62" t="s">
        <v>34</v>
      </c>
      <c r="B42" s="173" t="s">
        <v>88</v>
      </c>
      <c r="C42" s="64" t="s">
        <v>338</v>
      </c>
      <c r="D42" s="72" t="s">
        <v>57</v>
      </c>
      <c r="E42" s="63" t="s">
        <v>191</v>
      </c>
      <c r="F42" s="177" t="s">
        <v>194</v>
      </c>
      <c r="G42" s="73">
        <v>5700</v>
      </c>
    </row>
    <row r="43" spans="1:7" s="70" customFormat="1" ht="42" customHeight="1">
      <c r="A43" s="312" t="s">
        <v>34</v>
      </c>
      <c r="B43" s="315" t="s">
        <v>88</v>
      </c>
      <c r="C43" s="314" t="s">
        <v>338</v>
      </c>
      <c r="D43" s="316" t="s">
        <v>57</v>
      </c>
      <c r="E43" s="313" t="s">
        <v>191</v>
      </c>
      <c r="F43" s="317" t="s">
        <v>343</v>
      </c>
      <c r="G43" s="318">
        <v>6000</v>
      </c>
    </row>
    <row r="44" spans="1:7" ht="23.25" customHeight="1">
      <c r="A44" s="62" t="s">
        <v>34</v>
      </c>
      <c r="B44" s="173" t="s">
        <v>51</v>
      </c>
      <c r="C44" s="174" t="s">
        <v>344</v>
      </c>
      <c r="D44" s="72" t="s">
        <v>57</v>
      </c>
      <c r="E44" s="63" t="s">
        <v>191</v>
      </c>
      <c r="F44" s="177" t="s">
        <v>345</v>
      </c>
      <c r="G44" s="73">
        <v>28710</v>
      </c>
    </row>
    <row r="45" spans="1:7" ht="23.25" customHeight="1">
      <c r="A45" s="62" t="s">
        <v>34</v>
      </c>
      <c r="B45" s="173" t="s">
        <v>50</v>
      </c>
      <c r="C45" s="174" t="s">
        <v>196</v>
      </c>
      <c r="D45" s="175" t="s">
        <v>58</v>
      </c>
      <c r="E45" s="176" t="s">
        <v>197</v>
      </c>
      <c r="F45" s="177" t="s">
        <v>197</v>
      </c>
      <c r="G45" s="73">
        <v>23100.28</v>
      </c>
    </row>
    <row r="46" spans="1:7" ht="23.25" customHeight="1">
      <c r="A46" s="62" t="s">
        <v>34</v>
      </c>
      <c r="B46" s="173" t="s">
        <v>50</v>
      </c>
      <c r="C46" s="174" t="s">
        <v>196</v>
      </c>
      <c r="D46" s="175" t="s">
        <v>58</v>
      </c>
      <c r="E46" s="176" t="s">
        <v>197</v>
      </c>
      <c r="F46" s="177" t="s">
        <v>197</v>
      </c>
      <c r="G46" s="73">
        <v>69300.84</v>
      </c>
    </row>
    <row r="47" spans="1:7" ht="23.25" customHeight="1">
      <c r="A47" s="62" t="s">
        <v>34</v>
      </c>
      <c r="B47" s="173" t="s">
        <v>109</v>
      </c>
      <c r="C47" s="174" t="s">
        <v>96</v>
      </c>
      <c r="D47" s="175" t="s">
        <v>58</v>
      </c>
      <c r="E47" s="176" t="s">
        <v>346</v>
      </c>
      <c r="F47" s="177" t="s">
        <v>347</v>
      </c>
      <c r="G47" s="73">
        <v>550</v>
      </c>
    </row>
    <row r="48" spans="1:7" ht="23.25" customHeight="1">
      <c r="A48" s="62" t="s">
        <v>34</v>
      </c>
      <c r="B48" s="173" t="s">
        <v>50</v>
      </c>
      <c r="C48" s="174" t="s">
        <v>348</v>
      </c>
      <c r="D48" s="175" t="s">
        <v>198</v>
      </c>
      <c r="E48" s="176" t="s">
        <v>349</v>
      </c>
      <c r="F48" s="177" t="s">
        <v>350</v>
      </c>
      <c r="G48" s="73">
        <v>10000</v>
      </c>
    </row>
    <row r="49" spans="1:7" ht="23.25" customHeight="1">
      <c r="A49" s="62" t="s">
        <v>34</v>
      </c>
      <c r="B49" s="173" t="s">
        <v>50</v>
      </c>
      <c r="C49" s="174" t="s">
        <v>348</v>
      </c>
      <c r="D49" s="175" t="s">
        <v>198</v>
      </c>
      <c r="E49" s="176" t="s">
        <v>349</v>
      </c>
      <c r="F49" s="177" t="s">
        <v>351</v>
      </c>
      <c r="G49" s="73">
        <v>12000</v>
      </c>
    </row>
    <row r="50" spans="1:7" ht="23.25" customHeight="1">
      <c r="A50" s="62" t="s">
        <v>34</v>
      </c>
      <c r="B50" s="173" t="s">
        <v>50</v>
      </c>
      <c r="C50" s="174" t="s">
        <v>348</v>
      </c>
      <c r="D50" s="175" t="s">
        <v>198</v>
      </c>
      <c r="E50" s="176" t="s">
        <v>352</v>
      </c>
      <c r="F50" s="177" t="s">
        <v>353</v>
      </c>
      <c r="G50" s="73">
        <v>18000</v>
      </c>
    </row>
    <row r="51" spans="1:7" ht="23.25" customHeight="1">
      <c r="A51" s="62" t="s">
        <v>34</v>
      </c>
      <c r="B51" s="173" t="s">
        <v>109</v>
      </c>
      <c r="C51" s="174" t="s">
        <v>96</v>
      </c>
      <c r="D51" s="175" t="s">
        <v>198</v>
      </c>
      <c r="E51" s="176" t="s">
        <v>354</v>
      </c>
      <c r="F51" s="177" t="s">
        <v>355</v>
      </c>
      <c r="G51" s="73">
        <v>16000</v>
      </c>
    </row>
    <row r="52" spans="1:7" ht="49.5" customHeight="1">
      <c r="A52" s="62" t="s">
        <v>34</v>
      </c>
      <c r="B52" s="173" t="s">
        <v>88</v>
      </c>
      <c r="C52" s="174" t="s">
        <v>356</v>
      </c>
      <c r="D52" s="175" t="s">
        <v>72</v>
      </c>
      <c r="E52" s="176" t="s">
        <v>357</v>
      </c>
      <c r="F52" s="177" t="s">
        <v>358</v>
      </c>
      <c r="G52" s="73">
        <v>20000</v>
      </c>
    </row>
    <row r="53" spans="1:7" ht="23.25" customHeight="1">
      <c r="A53" s="62" t="s">
        <v>34</v>
      </c>
      <c r="B53" s="173" t="s">
        <v>88</v>
      </c>
      <c r="C53" s="174" t="s">
        <v>199</v>
      </c>
      <c r="D53" s="175" t="s">
        <v>72</v>
      </c>
      <c r="E53" s="176" t="s">
        <v>359</v>
      </c>
      <c r="F53" s="177" t="s">
        <v>360</v>
      </c>
      <c r="G53" s="73">
        <v>170000</v>
      </c>
    </row>
    <row r="54" spans="1:7" ht="44.25" customHeight="1">
      <c r="A54" s="62" t="s">
        <v>34</v>
      </c>
      <c r="B54" s="173" t="s">
        <v>88</v>
      </c>
      <c r="C54" s="174" t="s">
        <v>199</v>
      </c>
      <c r="D54" s="175" t="s">
        <v>72</v>
      </c>
      <c r="E54" s="176" t="s">
        <v>359</v>
      </c>
      <c r="F54" s="177" t="s">
        <v>361</v>
      </c>
      <c r="G54" s="73">
        <v>170000</v>
      </c>
    </row>
    <row r="55" spans="1:7" ht="42.75" customHeight="1">
      <c r="A55" s="62" t="s">
        <v>34</v>
      </c>
      <c r="B55" s="173" t="s">
        <v>88</v>
      </c>
      <c r="C55" s="174" t="s">
        <v>356</v>
      </c>
      <c r="D55" s="175" t="s">
        <v>72</v>
      </c>
      <c r="E55" s="176" t="s">
        <v>362</v>
      </c>
      <c r="F55" s="177" t="s">
        <v>363</v>
      </c>
      <c r="G55" s="73">
        <v>40000</v>
      </c>
    </row>
    <row r="56" spans="1:7" ht="42.75" customHeight="1">
      <c r="A56" s="62" t="s">
        <v>34</v>
      </c>
      <c r="B56" s="173" t="s">
        <v>88</v>
      </c>
      <c r="C56" s="174" t="s">
        <v>356</v>
      </c>
      <c r="D56" s="175" t="s">
        <v>72</v>
      </c>
      <c r="E56" s="176" t="s">
        <v>362</v>
      </c>
      <c r="F56" s="177" t="s">
        <v>364</v>
      </c>
      <c r="G56" s="73">
        <v>195000</v>
      </c>
    </row>
    <row r="57" spans="1:7" ht="45.75" customHeight="1">
      <c r="A57" s="62" t="s">
        <v>34</v>
      </c>
      <c r="B57" s="173" t="s">
        <v>53</v>
      </c>
      <c r="C57" s="174" t="s">
        <v>53</v>
      </c>
      <c r="D57" s="175" t="s">
        <v>53</v>
      </c>
      <c r="E57" s="176" t="s">
        <v>200</v>
      </c>
      <c r="F57" s="177" t="s">
        <v>365</v>
      </c>
      <c r="G57" s="73">
        <v>97400</v>
      </c>
    </row>
    <row r="58" spans="1:7" ht="44.25" customHeight="1">
      <c r="A58" s="62" t="s">
        <v>34</v>
      </c>
      <c r="B58" s="173" t="s">
        <v>53</v>
      </c>
      <c r="C58" s="174" t="s">
        <v>53</v>
      </c>
      <c r="D58" s="175" t="s">
        <v>53</v>
      </c>
      <c r="E58" s="176" t="s">
        <v>200</v>
      </c>
      <c r="F58" s="177" t="s">
        <v>366</v>
      </c>
      <c r="G58" s="73">
        <v>34000</v>
      </c>
    </row>
    <row r="59" spans="1:7" ht="23.25" customHeight="1">
      <c r="A59" s="62" t="s">
        <v>34</v>
      </c>
      <c r="B59" s="173" t="s">
        <v>53</v>
      </c>
      <c r="C59" s="174" t="s">
        <v>53</v>
      </c>
      <c r="D59" s="175" t="s">
        <v>53</v>
      </c>
      <c r="E59" s="176" t="s">
        <v>200</v>
      </c>
      <c r="F59" s="177" t="s">
        <v>367</v>
      </c>
      <c r="G59" s="73">
        <v>23000</v>
      </c>
    </row>
    <row r="60" spans="1:7" ht="23.25" customHeight="1">
      <c r="A60" s="62" t="s">
        <v>34</v>
      </c>
      <c r="B60" s="173" t="s">
        <v>53</v>
      </c>
      <c r="C60" s="174" t="s">
        <v>53</v>
      </c>
      <c r="D60" s="175" t="s">
        <v>53</v>
      </c>
      <c r="E60" s="216" t="s">
        <v>252</v>
      </c>
      <c r="F60" s="216" t="s">
        <v>110</v>
      </c>
      <c r="G60" s="65">
        <v>10344</v>
      </c>
    </row>
    <row r="61" spans="1:7" ht="23.25" customHeight="1" thickBot="1">
      <c r="A61" s="74"/>
      <c r="B61" s="74"/>
      <c r="C61" s="74"/>
      <c r="D61" s="74"/>
      <c r="E61" s="74"/>
      <c r="F61" s="61" t="s">
        <v>4</v>
      </c>
      <c r="G61" s="310">
        <f>SUM(G37:G60)</f>
        <v>1621025.12</v>
      </c>
    </row>
    <row r="62" spans="1:7" ht="21.75" thickTop="1"/>
  </sheetData>
  <mergeCells count="3">
    <mergeCell ref="A1:G1"/>
    <mergeCell ref="A2:G2"/>
    <mergeCell ref="A3:G3"/>
  </mergeCells>
  <pageMargins left="0.47244094488188981" right="7.874015748031496E-2" top="0.15748031496062992" bottom="0" header="0" footer="0"/>
  <pageSetup paperSize="9" scale="6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00B050"/>
  </sheetPr>
  <dimension ref="A1:F29"/>
  <sheetViews>
    <sheetView view="pageBreakPreview" zoomScaleSheetLayoutView="100" workbookViewId="0">
      <selection activeCell="C6" sqref="C6"/>
    </sheetView>
  </sheetViews>
  <sheetFormatPr defaultRowHeight="19.5"/>
  <cols>
    <col min="1" max="1" width="8.625" style="7" customWidth="1"/>
    <col min="2" max="2" width="15.75" style="7" customWidth="1"/>
    <col min="3" max="3" width="25.375" style="7" customWidth="1"/>
    <col min="4" max="4" width="8.875" style="7" customWidth="1"/>
    <col min="5" max="5" width="14" style="338" customWidth="1"/>
    <col min="6" max="6" width="13.5" style="7" customWidth="1"/>
    <col min="7" max="16384" width="9" style="7"/>
  </cols>
  <sheetData>
    <row r="1" spans="1:6">
      <c r="A1" s="391" t="s">
        <v>127</v>
      </c>
      <c r="B1" s="391"/>
      <c r="C1" s="391"/>
      <c r="D1" s="391"/>
      <c r="E1" s="391"/>
      <c r="F1" s="391"/>
    </row>
    <row r="2" spans="1:6">
      <c r="A2" s="391" t="s">
        <v>35</v>
      </c>
      <c r="B2" s="391"/>
      <c r="C2" s="391"/>
      <c r="D2" s="391"/>
      <c r="E2" s="391"/>
      <c r="F2" s="391"/>
    </row>
    <row r="3" spans="1:6">
      <c r="A3" s="391" t="s">
        <v>212</v>
      </c>
      <c r="B3" s="391"/>
      <c r="C3" s="391"/>
      <c r="D3" s="391"/>
      <c r="E3" s="391"/>
      <c r="F3" s="391"/>
    </row>
    <row r="4" spans="1:6" ht="12.75" customHeight="1">
      <c r="A4" s="222"/>
      <c r="B4" s="222"/>
      <c r="C4" s="222"/>
      <c r="D4" s="222"/>
      <c r="E4" s="361"/>
      <c r="F4" s="360"/>
    </row>
    <row r="5" spans="1:6">
      <c r="A5" s="78" t="s">
        <v>378</v>
      </c>
      <c r="E5" s="361">
        <v>2561</v>
      </c>
      <c r="F5" s="222">
        <v>2560</v>
      </c>
    </row>
    <row r="6" spans="1:6">
      <c r="B6" s="362" t="s">
        <v>37</v>
      </c>
      <c r="C6" s="363"/>
      <c r="D6" s="363"/>
      <c r="E6" s="364">
        <v>829254</v>
      </c>
      <c r="F6" s="365">
        <v>870523</v>
      </c>
    </row>
    <row r="7" spans="1:6">
      <c r="B7" s="362" t="s">
        <v>86</v>
      </c>
      <c r="C7" s="363"/>
      <c r="D7" s="363"/>
      <c r="E7" s="364">
        <v>12244.88</v>
      </c>
      <c r="F7" s="365">
        <v>6370.24</v>
      </c>
    </row>
    <row r="8" spans="1:6">
      <c r="B8" s="362" t="s">
        <v>209</v>
      </c>
      <c r="C8" s="363"/>
      <c r="D8" s="363"/>
      <c r="E8" s="364">
        <v>314.52</v>
      </c>
      <c r="F8" s="365">
        <v>219.18</v>
      </c>
    </row>
    <row r="9" spans="1:6">
      <c r="B9" s="362" t="s">
        <v>110</v>
      </c>
      <c r="C9" s="363"/>
      <c r="D9" s="363"/>
      <c r="E9" s="364">
        <v>1027</v>
      </c>
      <c r="F9" s="365">
        <v>11360</v>
      </c>
    </row>
    <row r="10" spans="1:6">
      <c r="B10" s="366" t="s">
        <v>207</v>
      </c>
      <c r="C10" s="363"/>
      <c r="D10" s="363"/>
      <c r="E10" s="364">
        <v>10000</v>
      </c>
      <c r="F10" s="365">
        <v>10000</v>
      </c>
    </row>
    <row r="11" spans="1:6">
      <c r="B11" s="366" t="s">
        <v>208</v>
      </c>
      <c r="C11" s="363"/>
      <c r="D11" s="363"/>
      <c r="E11" s="364">
        <v>54500</v>
      </c>
      <c r="F11" s="365">
        <v>54500</v>
      </c>
    </row>
    <row r="12" spans="1:6">
      <c r="B12" s="366" t="s">
        <v>368</v>
      </c>
      <c r="C12" s="363"/>
      <c r="D12" s="363"/>
      <c r="E12" s="364">
        <v>0</v>
      </c>
      <c r="F12" s="365">
        <v>300000</v>
      </c>
    </row>
    <row r="13" spans="1:6">
      <c r="B13" s="366" t="s">
        <v>369</v>
      </c>
      <c r="C13" s="363"/>
      <c r="D13" s="363"/>
      <c r="E13" s="364"/>
      <c r="F13" s="365">
        <v>200000</v>
      </c>
    </row>
    <row r="14" spans="1:6">
      <c r="B14" s="366" t="s">
        <v>211</v>
      </c>
      <c r="C14" s="363"/>
      <c r="D14" s="363"/>
      <c r="E14" s="364">
        <v>20</v>
      </c>
      <c r="F14" s="365">
        <v>20</v>
      </c>
    </row>
    <row r="15" spans="1:6">
      <c r="B15" s="366" t="s">
        <v>370</v>
      </c>
      <c r="C15" s="363"/>
      <c r="D15" s="363"/>
      <c r="E15" s="364">
        <v>0</v>
      </c>
      <c r="F15" s="365">
        <v>4800</v>
      </c>
    </row>
    <row r="16" spans="1:6">
      <c r="B16" s="366" t="s">
        <v>371</v>
      </c>
      <c r="C16" s="363"/>
      <c r="D16" s="363"/>
      <c r="E16" s="364">
        <v>0</v>
      </c>
      <c r="F16" s="365">
        <v>3500</v>
      </c>
    </row>
    <row r="17" spans="1:6">
      <c r="B17" s="366" t="s">
        <v>116</v>
      </c>
      <c r="C17" s="363"/>
      <c r="D17" s="363"/>
      <c r="E17" s="364">
        <f>316305.66+1310791.5</f>
        <v>1627097.16</v>
      </c>
      <c r="F17" s="365">
        <v>1585007.28</v>
      </c>
    </row>
    <row r="18" spans="1:6">
      <c r="B18" s="389" t="s">
        <v>126</v>
      </c>
      <c r="C18" s="389"/>
      <c r="D18" s="363"/>
      <c r="E18" s="364"/>
      <c r="F18" s="365"/>
    </row>
    <row r="19" spans="1:6" ht="18.75" customHeight="1">
      <c r="B19" s="389" t="s">
        <v>285</v>
      </c>
      <c r="C19" s="389"/>
      <c r="D19" s="389"/>
      <c r="E19" s="364">
        <v>20000</v>
      </c>
      <c r="F19" s="365">
        <v>0</v>
      </c>
    </row>
    <row r="20" spans="1:6" ht="23.25" customHeight="1">
      <c r="B20" s="389" t="s">
        <v>124</v>
      </c>
      <c r="C20" s="389"/>
      <c r="D20" s="367"/>
      <c r="E20" s="364">
        <v>145100</v>
      </c>
      <c r="F20" s="365">
        <v>145100</v>
      </c>
    </row>
    <row r="21" spans="1:6" ht="23.25" customHeight="1">
      <c r="B21" s="389" t="s">
        <v>201</v>
      </c>
      <c r="C21" s="389"/>
      <c r="D21" s="367"/>
      <c r="E21" s="364">
        <v>48411</v>
      </c>
      <c r="F21" s="365">
        <v>48411</v>
      </c>
    </row>
    <row r="22" spans="1:6" ht="23.25" customHeight="1">
      <c r="B22" s="389" t="s">
        <v>202</v>
      </c>
      <c r="C22" s="389"/>
      <c r="D22" s="367"/>
      <c r="E22" s="364">
        <v>1093</v>
      </c>
      <c r="F22" s="365">
        <v>1093</v>
      </c>
    </row>
    <row r="23" spans="1:6" ht="23.25" customHeight="1">
      <c r="B23" s="389" t="s">
        <v>203</v>
      </c>
      <c r="C23" s="389"/>
      <c r="D23" s="367"/>
      <c r="E23" s="364">
        <v>21921</v>
      </c>
      <c r="F23" s="365">
        <v>21921</v>
      </c>
    </row>
    <row r="24" spans="1:6" ht="23.25" customHeight="1">
      <c r="B24" s="389" t="s">
        <v>204</v>
      </c>
      <c r="C24" s="389"/>
      <c r="D24" s="367"/>
      <c r="E24" s="364">
        <v>12</v>
      </c>
      <c r="F24" s="365">
        <v>12</v>
      </c>
    </row>
    <row r="25" spans="1:6" ht="23.25" customHeight="1">
      <c r="B25" s="389" t="s">
        <v>205</v>
      </c>
      <c r="C25" s="389"/>
      <c r="D25" s="367"/>
      <c r="E25" s="364">
        <v>45500</v>
      </c>
      <c r="F25" s="365">
        <v>45500</v>
      </c>
    </row>
    <row r="26" spans="1:6" ht="23.25" customHeight="1">
      <c r="B26" s="389" t="s">
        <v>206</v>
      </c>
      <c r="C26" s="389"/>
      <c r="D26" s="367"/>
      <c r="E26" s="368">
        <v>97500</v>
      </c>
      <c r="F26" s="365">
        <v>97500</v>
      </c>
    </row>
    <row r="27" spans="1:6" ht="20.25" thickBot="1">
      <c r="A27" s="338"/>
      <c r="B27" s="365"/>
      <c r="C27" s="390" t="s">
        <v>4</v>
      </c>
      <c r="D27" s="390"/>
      <c r="E27" s="369">
        <f>SUM(E6:E26)</f>
        <v>2913994.56</v>
      </c>
      <c r="F27" s="369">
        <f>SUM(F6:F26)</f>
        <v>3405836.7</v>
      </c>
    </row>
    <row r="28" spans="1:6" ht="20.25" thickTop="1">
      <c r="B28" s="365"/>
      <c r="C28" s="365"/>
      <c r="D28" s="365"/>
      <c r="E28" s="362"/>
    </row>
    <row r="29" spans="1:6">
      <c r="A29" s="370"/>
      <c r="B29" s="371"/>
      <c r="C29" s="371"/>
      <c r="D29" s="371"/>
      <c r="E29" s="366"/>
    </row>
  </sheetData>
  <mergeCells count="13">
    <mergeCell ref="B20:C20"/>
    <mergeCell ref="B18:C18"/>
    <mergeCell ref="B21:C21"/>
    <mergeCell ref="B19:D19"/>
    <mergeCell ref="A1:F1"/>
    <mergeCell ref="A2:F2"/>
    <mergeCell ref="A3:F3"/>
    <mergeCell ref="B22:C22"/>
    <mergeCell ref="B24:C24"/>
    <mergeCell ref="B25:C25"/>
    <mergeCell ref="B26:C26"/>
    <mergeCell ref="C27:D27"/>
    <mergeCell ref="B23:C23"/>
  </mergeCells>
  <pageMargins left="0.47" right="0.23622047244094491" top="0.56000000000000005" bottom="0.74803149606299213" header="0.31496062992125984" footer="0.31496062992125984"/>
  <pageSetup paperSize="147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00B050"/>
  </sheetPr>
  <dimension ref="A1:M29"/>
  <sheetViews>
    <sheetView view="pageBreakPreview" zoomScaleSheetLayoutView="100" workbookViewId="0">
      <selection activeCell="K20" sqref="K20"/>
    </sheetView>
  </sheetViews>
  <sheetFormatPr defaultRowHeight="19.5"/>
  <cols>
    <col min="1" max="1" width="2.375" style="319" customWidth="1"/>
    <col min="2" max="2" width="1.75" style="319" customWidth="1"/>
    <col min="3" max="3" width="9" style="319"/>
    <col min="4" max="4" width="6.5" style="319" customWidth="1"/>
    <col min="5" max="5" width="18.125" style="334" customWidth="1"/>
    <col min="6" max="6" width="11.5" style="334" bestFit="1" customWidth="1"/>
    <col min="7" max="7" width="11.5" style="334" customWidth="1"/>
    <col min="8" max="8" width="1.25" style="334" customWidth="1"/>
    <col min="9" max="9" width="13.375" style="319" bestFit="1" customWidth="1"/>
    <col min="10" max="10" width="11" style="319" customWidth="1"/>
    <col min="11" max="11" width="11.625" style="319" customWidth="1"/>
    <col min="12" max="12" width="0.625" style="319" customWidth="1"/>
    <col min="13" max="13" width="12" style="319" customWidth="1"/>
    <col min="14" max="16384" width="9" style="319"/>
  </cols>
  <sheetData>
    <row r="1" spans="1:13">
      <c r="A1" s="393" t="s">
        <v>410</v>
      </c>
      <c r="B1" s="393"/>
      <c r="C1" s="393"/>
      <c r="D1" s="393"/>
      <c r="E1" s="393"/>
      <c r="F1" s="393"/>
      <c r="G1" s="393"/>
      <c r="H1" s="393"/>
      <c r="I1" s="393"/>
      <c r="J1" s="393"/>
      <c r="K1" s="393"/>
      <c r="L1" s="393"/>
      <c r="M1" s="393"/>
    </row>
    <row r="2" spans="1:13">
      <c r="A2" s="393" t="s">
        <v>35</v>
      </c>
      <c r="B2" s="393"/>
      <c r="C2" s="393"/>
      <c r="D2" s="393"/>
      <c r="E2" s="393"/>
      <c r="F2" s="393"/>
      <c r="G2" s="393"/>
      <c r="H2" s="393"/>
      <c r="I2" s="393"/>
      <c r="J2" s="393"/>
      <c r="K2" s="393"/>
      <c r="L2" s="393"/>
      <c r="M2" s="393"/>
    </row>
    <row r="3" spans="1:13">
      <c r="A3" s="393" t="s">
        <v>309</v>
      </c>
      <c r="B3" s="393"/>
      <c r="C3" s="393"/>
      <c r="D3" s="393"/>
      <c r="E3" s="393"/>
      <c r="F3" s="393"/>
      <c r="G3" s="393"/>
      <c r="H3" s="393"/>
      <c r="I3" s="393"/>
      <c r="J3" s="393"/>
      <c r="K3" s="393"/>
      <c r="L3" s="393"/>
      <c r="M3" s="393"/>
    </row>
    <row r="4" spans="1:13">
      <c r="B4" s="320" t="s">
        <v>379</v>
      </c>
      <c r="C4" s="320"/>
      <c r="D4" s="320"/>
      <c r="E4" s="320"/>
      <c r="F4" s="320"/>
      <c r="G4" s="320"/>
      <c r="H4" s="320"/>
      <c r="I4" s="320"/>
    </row>
    <row r="5" spans="1:13">
      <c r="B5" s="320"/>
      <c r="C5" s="320"/>
      <c r="D5" s="320"/>
      <c r="E5" s="320"/>
      <c r="F5" s="392">
        <v>2561</v>
      </c>
      <c r="G5" s="392"/>
      <c r="H5" s="392"/>
      <c r="I5" s="392"/>
      <c r="J5" s="392">
        <v>2560</v>
      </c>
      <c r="K5" s="392"/>
      <c r="L5" s="392"/>
      <c r="M5" s="392"/>
    </row>
    <row r="6" spans="1:13">
      <c r="B6" s="321" t="s">
        <v>272</v>
      </c>
      <c r="E6" s="319"/>
      <c r="F6" s="322"/>
      <c r="G6" s="323"/>
      <c r="H6" s="323"/>
      <c r="I6" s="324">
        <v>7674882.6500000004</v>
      </c>
      <c r="J6" s="322"/>
      <c r="K6" s="323"/>
      <c r="L6" s="323"/>
      <c r="M6" s="324">
        <v>5270484.59</v>
      </c>
    </row>
    <row r="7" spans="1:13">
      <c r="C7" s="319" t="s">
        <v>38</v>
      </c>
      <c r="E7" s="319"/>
      <c r="F7" s="325">
        <v>4336035.0199999996</v>
      </c>
      <c r="G7" s="326"/>
      <c r="H7" s="326"/>
      <c r="I7" s="327"/>
      <c r="J7" s="325">
        <v>3486173.42</v>
      </c>
      <c r="K7" s="326"/>
      <c r="L7" s="326"/>
      <c r="M7" s="327"/>
    </row>
    <row r="8" spans="1:13">
      <c r="C8" s="328" t="s">
        <v>420</v>
      </c>
      <c r="E8" s="319"/>
      <c r="F8" s="329">
        <v>-1084008.76</v>
      </c>
      <c r="G8" s="326"/>
      <c r="H8" s="326"/>
      <c r="I8" s="327"/>
      <c r="J8" s="329">
        <v>-871543.36</v>
      </c>
      <c r="K8" s="326"/>
      <c r="L8" s="326"/>
      <c r="M8" s="327"/>
    </row>
    <row r="9" spans="1:13">
      <c r="C9" s="319" t="s">
        <v>78</v>
      </c>
      <c r="E9" s="319"/>
      <c r="F9" s="325"/>
      <c r="G9" s="326"/>
      <c r="H9" s="326"/>
      <c r="I9" s="327"/>
      <c r="J9" s="325"/>
      <c r="K9" s="326"/>
      <c r="L9" s="326"/>
      <c r="M9" s="327"/>
    </row>
    <row r="10" spans="1:13">
      <c r="B10" s="328" t="s">
        <v>422</v>
      </c>
      <c r="E10" s="319"/>
      <c r="F10" s="325"/>
      <c r="G10" s="326">
        <f>+F7+F8</f>
        <v>3252026.26</v>
      </c>
      <c r="H10" s="326"/>
      <c r="I10" s="327"/>
      <c r="J10" s="325"/>
      <c r="K10" s="326">
        <f>+J7+J8</f>
        <v>2614630.06</v>
      </c>
      <c r="L10" s="326"/>
      <c r="M10" s="327"/>
    </row>
    <row r="11" spans="1:13">
      <c r="B11" s="328"/>
      <c r="C11" s="319" t="s">
        <v>423</v>
      </c>
      <c r="E11" s="319"/>
      <c r="F11" s="325"/>
      <c r="G11" s="326"/>
      <c r="H11" s="326"/>
      <c r="I11" s="327"/>
      <c r="J11" s="325"/>
      <c r="K11" s="326"/>
      <c r="L11" s="326"/>
      <c r="M11" s="327"/>
    </row>
    <row r="12" spans="1:13">
      <c r="C12" s="319" t="s">
        <v>90</v>
      </c>
      <c r="E12" s="319"/>
      <c r="F12" s="325"/>
      <c r="G12" s="326">
        <f>72900+5839.25</f>
        <v>78739.25</v>
      </c>
      <c r="H12" s="326"/>
      <c r="I12" s="327"/>
      <c r="J12" s="325"/>
      <c r="K12" s="326">
        <v>11295</v>
      </c>
      <c r="L12" s="326"/>
      <c r="M12" s="327"/>
    </row>
    <row r="13" spans="1:13">
      <c r="B13" s="330"/>
      <c r="C13" s="319" t="s">
        <v>125</v>
      </c>
      <c r="E13" s="319"/>
      <c r="F13" s="325"/>
      <c r="G13" s="326">
        <v>61507.199999999997</v>
      </c>
      <c r="H13" s="326"/>
      <c r="I13" s="327"/>
      <c r="J13" s="325"/>
      <c r="K13" s="326">
        <v>18473</v>
      </c>
      <c r="L13" s="326"/>
      <c r="M13" s="327"/>
    </row>
    <row r="14" spans="1:13" hidden="1">
      <c r="B14" s="330"/>
      <c r="C14" s="319" t="s">
        <v>118</v>
      </c>
      <c r="E14" s="319"/>
      <c r="F14" s="325"/>
      <c r="G14" s="326">
        <v>0</v>
      </c>
      <c r="H14" s="326"/>
      <c r="I14" s="327"/>
      <c r="J14" s="325"/>
      <c r="K14" s="326">
        <v>0</v>
      </c>
      <c r="L14" s="326"/>
      <c r="M14" s="327"/>
    </row>
    <row r="15" spans="1:13">
      <c r="B15" s="319" t="s">
        <v>421</v>
      </c>
      <c r="E15" s="319"/>
      <c r="F15" s="325"/>
      <c r="G15" s="331">
        <v>-928150</v>
      </c>
      <c r="H15" s="326"/>
      <c r="I15" s="327">
        <f>G10+G12+G13+G14+G15</f>
        <v>2464122.71</v>
      </c>
      <c r="J15" s="325"/>
      <c r="K15" s="331">
        <v>-240000</v>
      </c>
      <c r="L15" s="326"/>
      <c r="M15" s="327">
        <f>K10+K12+K13+K14+K15</f>
        <v>2404398.06</v>
      </c>
    </row>
    <row r="16" spans="1:13" ht="20.25" thickBot="1">
      <c r="B16" s="321" t="s">
        <v>306</v>
      </c>
      <c r="E16" s="319"/>
      <c r="F16" s="325"/>
      <c r="G16" s="326"/>
      <c r="H16" s="326"/>
      <c r="I16" s="332">
        <f>SUM(I6:I15)</f>
        <v>10139005.359999999</v>
      </c>
      <c r="J16" s="325"/>
      <c r="K16" s="326"/>
      <c r="L16" s="326"/>
      <c r="M16" s="332">
        <f>SUM(M6:M15)</f>
        <v>7674882.6500000004</v>
      </c>
    </row>
    <row r="17" spans="2:13" ht="20.25" thickTop="1">
      <c r="E17" s="319"/>
      <c r="F17" s="329"/>
      <c r="G17" s="331"/>
      <c r="H17" s="331"/>
      <c r="I17" s="333"/>
      <c r="J17" s="329"/>
      <c r="K17" s="331"/>
      <c r="L17" s="331"/>
      <c r="M17" s="333"/>
    </row>
    <row r="18" spans="2:13">
      <c r="E18" s="319"/>
      <c r="F18" s="326"/>
      <c r="G18" s="326"/>
      <c r="H18" s="326"/>
      <c r="I18" s="326"/>
      <c r="J18" s="326"/>
      <c r="K18" s="326"/>
      <c r="L18" s="326"/>
      <c r="M18" s="326"/>
    </row>
    <row r="19" spans="2:13" ht="21.75">
      <c r="B19" s="321" t="s">
        <v>305</v>
      </c>
      <c r="E19" s="319"/>
      <c r="I19" s="335" t="s">
        <v>321</v>
      </c>
      <c r="J19" s="334"/>
      <c r="K19" s="334"/>
      <c r="L19" s="334"/>
      <c r="M19" s="335" t="s">
        <v>322</v>
      </c>
    </row>
    <row r="20" spans="2:13">
      <c r="B20" s="336"/>
      <c r="C20" s="319" t="s">
        <v>380</v>
      </c>
      <c r="E20" s="319"/>
      <c r="F20" s="319"/>
      <c r="I20" s="334">
        <v>8817.2000000000007</v>
      </c>
      <c r="K20" s="334"/>
      <c r="L20" s="334"/>
      <c r="M20" s="334">
        <v>12475.68</v>
      </c>
    </row>
    <row r="21" spans="2:13">
      <c r="B21" s="336"/>
      <c r="C21" s="319" t="s">
        <v>381</v>
      </c>
      <c r="E21" s="319"/>
      <c r="F21" s="319"/>
      <c r="I21" s="334">
        <v>0</v>
      </c>
      <c r="K21" s="334"/>
      <c r="L21" s="334"/>
      <c r="M21" s="334">
        <v>72700</v>
      </c>
    </row>
    <row r="22" spans="2:13">
      <c r="B22" s="336"/>
      <c r="C22" s="319" t="s">
        <v>409</v>
      </c>
      <c r="E22" s="319"/>
      <c r="F22" s="319"/>
      <c r="I22" s="334">
        <f>I16-I20</f>
        <v>10130188.16</v>
      </c>
      <c r="K22" s="334"/>
      <c r="L22" s="334"/>
      <c r="M22" s="334">
        <f>M16-M20-M21</f>
        <v>7589706.9700000007</v>
      </c>
    </row>
    <row r="23" spans="2:13" ht="20.25" thickBot="1">
      <c r="B23" s="336"/>
      <c r="E23" s="319"/>
      <c r="F23" s="319"/>
      <c r="I23" s="337">
        <f>+I16</f>
        <v>10139005.359999999</v>
      </c>
      <c r="K23" s="334"/>
      <c r="L23" s="334"/>
      <c r="M23" s="337">
        <f>+M16</f>
        <v>7674882.6500000004</v>
      </c>
    </row>
    <row r="24" spans="2:13" ht="20.25" thickTop="1">
      <c r="E24" s="319"/>
      <c r="I24" s="334"/>
    </row>
    <row r="25" spans="2:13">
      <c r="C25" s="338"/>
      <c r="D25" s="338"/>
      <c r="E25" s="338"/>
      <c r="F25" s="338"/>
      <c r="G25" s="339"/>
      <c r="H25" s="339"/>
      <c r="I25" s="339"/>
    </row>
    <row r="26" spans="2:13">
      <c r="C26" s="338"/>
      <c r="D26" s="338"/>
      <c r="E26" s="338"/>
      <c r="F26" s="338"/>
      <c r="G26" s="338"/>
      <c r="H26" s="338"/>
      <c r="I26" s="338"/>
    </row>
    <row r="27" spans="2:13">
      <c r="E27" s="319"/>
      <c r="I27" s="334"/>
    </row>
    <row r="28" spans="2:13">
      <c r="E28" s="319"/>
      <c r="I28" s="334"/>
    </row>
    <row r="29" spans="2:13">
      <c r="E29" s="319"/>
      <c r="I29" s="334"/>
    </row>
  </sheetData>
  <mergeCells count="5">
    <mergeCell ref="F5:I5"/>
    <mergeCell ref="J5:M5"/>
    <mergeCell ref="A2:M2"/>
    <mergeCell ref="A3:M3"/>
    <mergeCell ref="A1:M1"/>
  </mergeCells>
  <pageMargins left="0.43307086614173229" right="0.43307086614173229" top="0.55118110236220474" bottom="0.15748031496062992" header="0.31496062992125984" footer="0.31496062992125984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14</vt:i4>
      </vt:variant>
    </vt:vector>
  </HeadingPairs>
  <TitlesOfParts>
    <vt:vector size="14" baseType="lpstr">
      <vt:lpstr>งบแสดงฐานะการเงิน61ใหม่</vt:lpstr>
      <vt:lpstr>หมายเหตุ1</vt:lpstr>
      <vt:lpstr>หมายเหตุ2</vt:lpstr>
      <vt:lpstr>หมายเหตุ3-4</vt:lpstr>
      <vt:lpstr>ลูกหนี้ภาษี5</vt:lpstr>
      <vt:lpstr>หมายเหตุ6</vt:lpstr>
      <vt:lpstr>หมายเหตุ7</vt:lpstr>
      <vt:lpstr>หมายเหตุ 8</vt:lpstr>
      <vt:lpstr>เงินสะสมเหตุ9</vt:lpstr>
      <vt:lpstr>แนบ9</vt:lpstr>
      <vt:lpstr>งบแสดงผลรายรับ</vt:lpstr>
      <vt:lpstr>งบแสดงผลรายรับและเงินสะสม</vt:lpstr>
      <vt:lpstr>เหตุ 1 ประกอบผลการดำเนินงาน</vt:lpstr>
      <vt:lpstr>เหตุ 2 ประกอบงบแสดงผล</vt:lpstr>
    </vt:vector>
  </TitlesOfParts>
  <Company>i-Power@PKT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PKT_V5</dc:creator>
  <cp:lastModifiedBy>Windows User</cp:lastModifiedBy>
  <cp:lastPrinted>2018-11-13T08:12:41Z</cp:lastPrinted>
  <dcterms:created xsi:type="dcterms:W3CDTF">2013-04-29T04:32:53Z</dcterms:created>
  <dcterms:modified xsi:type="dcterms:W3CDTF">2019-05-29T07:06:01Z</dcterms:modified>
</cp:coreProperties>
</file>